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ater NEW\05_Permits\01_Development Review\02_Resources\Calculator\"/>
    </mc:Choice>
  </mc:AlternateContent>
  <xr:revisionPtr revIDLastSave="0" documentId="13_ncr:1_{61E9EF8B-B21A-4C72-8EEE-1BBEECDB3A26}" xr6:coauthVersionLast="47" xr6:coauthVersionMax="47" xr10:uidLastSave="{00000000-0000-0000-0000-000000000000}"/>
  <bookViews>
    <workbookView xWindow="-28920" yWindow="-120" windowWidth="29040" windowHeight="15840" tabRatio="919" activeTab="11" xr2:uid="{00000000-000D-0000-FFFF-FFFF00000000}"/>
  </bookViews>
  <sheets>
    <sheet name="Overall Volume reduction" sheetId="1" r:id="rId1"/>
    <sheet name="Stormwater Reuse Calculations" sheetId="13" r:id="rId2"/>
    <sheet name="Linear Sub 1" sheetId="25" r:id="rId3"/>
    <sheet name="Linear Sub 2" sheetId="53" r:id="rId4"/>
    <sheet name="Linear Sub 3" sheetId="54" r:id="rId5"/>
    <sheet name="Linear Sub 4" sheetId="55" r:id="rId6"/>
    <sheet name="Linear Sub 5" sheetId="56" r:id="rId7"/>
    <sheet name="Linear Sub 6" sheetId="57" r:id="rId8"/>
    <sheet name="Linear Sub 7" sheetId="58" r:id="rId9"/>
    <sheet name="Linear Sub 8" sheetId="59" r:id="rId10"/>
    <sheet name="Linear Sub 9" sheetId="60" r:id="rId11"/>
    <sheet name="Linear Sub 10" sheetId="61" r:id="rId12"/>
    <sheet name="BMP List" sheetId="2" r:id="rId13"/>
    <sheet name="ESRI_MAPINFO_SHEET" sheetId="62" state="veryHidden" r:id="rId14"/>
  </sheets>
  <definedNames>
    <definedName name="_xlnm._FilterDatabase" localSheetId="12" hidden="1">'BMP List'!$A$1:$G$22</definedName>
    <definedName name="BMPlist" localSheetId="2">#REF!</definedName>
    <definedName name="BMPlist" localSheetId="11">#REF!</definedName>
    <definedName name="BMPlist" localSheetId="3">#REF!</definedName>
    <definedName name="BMPlist" localSheetId="4">#REF!</definedName>
    <definedName name="BMPlist" localSheetId="5">#REF!</definedName>
    <definedName name="BMPlist" localSheetId="6">#REF!</definedName>
    <definedName name="BMPlist" localSheetId="7">#REF!</definedName>
    <definedName name="BMPlist" localSheetId="8">#REF!</definedName>
    <definedName name="BMPlist" localSheetId="9">#REF!</definedName>
    <definedName name="BMPlist" localSheetId="10">#REF!</definedName>
    <definedName name="BMPlist" localSheetId="1">#REF!</definedName>
    <definedName name="BMPlist">#REF!</definedName>
    <definedName name="CreditListV1.1" localSheetId="2">#REF!</definedName>
    <definedName name="CreditListV1.1" localSheetId="11">#REF!</definedName>
    <definedName name="CreditListV1.1" localSheetId="3">#REF!</definedName>
    <definedName name="CreditListV1.1" localSheetId="4">#REF!</definedName>
    <definedName name="CreditListV1.1" localSheetId="5">#REF!</definedName>
    <definedName name="CreditListV1.1" localSheetId="6">#REF!</definedName>
    <definedName name="CreditListV1.1" localSheetId="7">#REF!</definedName>
    <definedName name="CreditListV1.1" localSheetId="8">#REF!</definedName>
    <definedName name="CreditListV1.1" localSheetId="9">#REF!</definedName>
    <definedName name="CreditListV1.1" localSheetId="10">#REF!</definedName>
    <definedName name="CreditListV1.1" localSheetId="1">#REF!</definedName>
    <definedName name="CreditListV1.1">#REF!</definedName>
    <definedName name="CreditListV1.2" localSheetId="2">#REF!</definedName>
    <definedName name="CreditListV1.2" localSheetId="11">#REF!</definedName>
    <definedName name="CreditListV1.2" localSheetId="3">#REF!</definedName>
    <definedName name="CreditListV1.2" localSheetId="4">#REF!</definedName>
    <definedName name="CreditListV1.2" localSheetId="5">#REF!</definedName>
    <definedName name="CreditListV1.2" localSheetId="6">#REF!</definedName>
    <definedName name="CreditListV1.2" localSheetId="7">#REF!</definedName>
    <definedName name="CreditListV1.2" localSheetId="8">#REF!</definedName>
    <definedName name="CreditListV1.2" localSheetId="9">#REF!</definedName>
    <definedName name="CreditListV1.2" localSheetId="10">#REF!</definedName>
    <definedName name="CreditListV1.2" localSheetId="1">#REF!</definedName>
    <definedName name="CreditListV1.2">#REF!</definedName>
    <definedName name="TheCreditList" localSheetId="2">#REF!</definedName>
    <definedName name="TheCreditList" localSheetId="11">#REF!</definedName>
    <definedName name="TheCreditList" localSheetId="3">#REF!</definedName>
    <definedName name="TheCreditList" localSheetId="4">#REF!</definedName>
    <definedName name="TheCreditList" localSheetId="5">#REF!</definedName>
    <definedName name="TheCreditList" localSheetId="6">#REF!</definedName>
    <definedName name="TheCreditList" localSheetId="7">#REF!</definedName>
    <definedName name="TheCreditList" localSheetId="8">#REF!</definedName>
    <definedName name="TheCreditList" localSheetId="9">#REF!</definedName>
    <definedName name="TheCreditList" localSheetId="10">#REF!</definedName>
    <definedName name="TheCreditList" localSheetId="1">#REF!</definedName>
    <definedName name="TheCredit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B19" i="2"/>
  <c r="B18" i="2"/>
  <c r="B17" i="2"/>
  <c r="B16" i="2"/>
  <c r="B2" i="2"/>
  <c r="C23" i="25"/>
  <c r="C19" i="61"/>
  <c r="C19" i="60"/>
  <c r="C19" i="59"/>
  <c r="C19" i="58"/>
  <c r="C19" i="57"/>
  <c r="C19" i="56"/>
  <c r="C19" i="55"/>
  <c r="C19" i="54"/>
  <c r="C19" i="53"/>
  <c r="C22" i="1"/>
  <c r="C28" i="1" l="1"/>
  <c r="G32" i="61"/>
  <c r="E32" i="61"/>
  <c r="G31" i="61"/>
  <c r="E31" i="61"/>
  <c r="G30" i="61"/>
  <c r="E30" i="61"/>
  <c r="G29" i="61"/>
  <c r="E29" i="61"/>
  <c r="G28" i="61"/>
  <c r="E28" i="61"/>
  <c r="G27" i="61"/>
  <c r="E27" i="61"/>
  <c r="G26" i="61"/>
  <c r="E26" i="61"/>
  <c r="G25" i="61"/>
  <c r="E25" i="61"/>
  <c r="G24" i="61"/>
  <c r="E24" i="61"/>
  <c r="G23" i="61"/>
  <c r="E23" i="61"/>
  <c r="G32" i="60"/>
  <c r="E32" i="60"/>
  <c r="G31" i="60"/>
  <c r="E31" i="60"/>
  <c r="G30" i="60"/>
  <c r="E30" i="60"/>
  <c r="G29" i="60"/>
  <c r="E29" i="60"/>
  <c r="G28" i="60"/>
  <c r="E28" i="60"/>
  <c r="G27" i="60"/>
  <c r="E27" i="60"/>
  <c r="G26" i="60"/>
  <c r="E26" i="60"/>
  <c r="G25" i="60"/>
  <c r="E25" i="60"/>
  <c r="G24" i="60"/>
  <c r="E24" i="60"/>
  <c r="G23" i="60"/>
  <c r="E23" i="60"/>
  <c r="G32" i="59"/>
  <c r="E32" i="59"/>
  <c r="G31" i="59"/>
  <c r="E31" i="59"/>
  <c r="G30" i="59"/>
  <c r="E30" i="59"/>
  <c r="G29" i="59"/>
  <c r="E29" i="59"/>
  <c r="G28" i="59"/>
  <c r="E28" i="59"/>
  <c r="G27" i="59"/>
  <c r="E27" i="59"/>
  <c r="G26" i="59"/>
  <c r="E26" i="59"/>
  <c r="G25" i="59"/>
  <c r="E25" i="59"/>
  <c r="G24" i="59"/>
  <c r="E24" i="59"/>
  <c r="G23" i="59"/>
  <c r="E23" i="59"/>
  <c r="G32" i="58"/>
  <c r="E32" i="58"/>
  <c r="G31" i="58"/>
  <c r="E31" i="58"/>
  <c r="G30" i="58"/>
  <c r="E30" i="58"/>
  <c r="G29" i="58"/>
  <c r="E29" i="58"/>
  <c r="G28" i="58"/>
  <c r="E28" i="58"/>
  <c r="G27" i="58"/>
  <c r="E27" i="58"/>
  <c r="G26" i="58"/>
  <c r="E26" i="58"/>
  <c r="G25" i="58"/>
  <c r="E25" i="58"/>
  <c r="G24" i="58"/>
  <c r="E24" i="58"/>
  <c r="G23" i="58"/>
  <c r="E23" i="58"/>
  <c r="G32" i="57"/>
  <c r="E32" i="57"/>
  <c r="G31" i="57"/>
  <c r="E31" i="57"/>
  <c r="G30" i="57"/>
  <c r="E30" i="57"/>
  <c r="G29" i="57"/>
  <c r="E29" i="57"/>
  <c r="G28" i="57"/>
  <c r="E28" i="57"/>
  <c r="G27" i="57"/>
  <c r="E27" i="57"/>
  <c r="G26" i="57"/>
  <c r="E26" i="57"/>
  <c r="G25" i="57"/>
  <c r="E25" i="57"/>
  <c r="G24" i="57"/>
  <c r="E24" i="57"/>
  <c r="G23" i="57"/>
  <c r="E23" i="57"/>
  <c r="G32" i="56"/>
  <c r="E32" i="56"/>
  <c r="G31" i="56"/>
  <c r="E31" i="56"/>
  <c r="G30" i="56"/>
  <c r="E30" i="56"/>
  <c r="G29" i="56"/>
  <c r="E29" i="56"/>
  <c r="G28" i="56"/>
  <c r="E28" i="56"/>
  <c r="G27" i="56"/>
  <c r="E27" i="56"/>
  <c r="G26" i="56"/>
  <c r="E26" i="56"/>
  <c r="G25" i="56"/>
  <c r="E25" i="56"/>
  <c r="G24" i="56"/>
  <c r="E24" i="56"/>
  <c r="G23" i="56"/>
  <c r="E23" i="56"/>
  <c r="G32" i="55"/>
  <c r="E32" i="55"/>
  <c r="G31" i="55"/>
  <c r="E31" i="55"/>
  <c r="G30" i="55"/>
  <c r="E30" i="55"/>
  <c r="G29" i="55"/>
  <c r="E29" i="55"/>
  <c r="G28" i="55"/>
  <c r="E28" i="55"/>
  <c r="G27" i="55"/>
  <c r="E27" i="55"/>
  <c r="G26" i="55"/>
  <c r="E26" i="55"/>
  <c r="G25" i="55"/>
  <c r="E25" i="55"/>
  <c r="G24" i="55"/>
  <c r="E24" i="55"/>
  <c r="G23" i="55"/>
  <c r="E23" i="55"/>
  <c r="G32" i="54"/>
  <c r="E32" i="54"/>
  <c r="G31" i="54"/>
  <c r="E31" i="54"/>
  <c r="G30" i="54"/>
  <c r="E30" i="54"/>
  <c r="G29" i="54"/>
  <c r="E29" i="54"/>
  <c r="G28" i="54"/>
  <c r="E28" i="54"/>
  <c r="G27" i="54"/>
  <c r="E27" i="54"/>
  <c r="G26" i="54"/>
  <c r="E26" i="54"/>
  <c r="G25" i="54"/>
  <c r="E25" i="54"/>
  <c r="G24" i="54"/>
  <c r="E24" i="54"/>
  <c r="G23" i="54"/>
  <c r="E23" i="54"/>
  <c r="G32" i="53"/>
  <c r="E32" i="53"/>
  <c r="G31" i="53"/>
  <c r="E31" i="53"/>
  <c r="G30" i="53"/>
  <c r="E30" i="53"/>
  <c r="G29" i="53"/>
  <c r="E29" i="53"/>
  <c r="G28" i="53"/>
  <c r="E28" i="53"/>
  <c r="G27" i="53"/>
  <c r="E27" i="53"/>
  <c r="G26" i="53"/>
  <c r="E26" i="53"/>
  <c r="G25" i="53"/>
  <c r="E25" i="53"/>
  <c r="G24" i="53"/>
  <c r="E24" i="53"/>
  <c r="G23" i="53"/>
  <c r="E23" i="53"/>
  <c r="G32" i="25"/>
  <c r="E32" i="25"/>
  <c r="G31" i="25"/>
  <c r="E31" i="25"/>
  <c r="G30" i="25"/>
  <c r="E30" i="25"/>
  <c r="G29" i="25"/>
  <c r="E29" i="25"/>
  <c r="G28" i="25"/>
  <c r="E28" i="25"/>
  <c r="G27" i="25"/>
  <c r="E27" i="25"/>
  <c r="G26" i="25"/>
  <c r="E26" i="25"/>
  <c r="G25" i="25"/>
  <c r="E25" i="25"/>
  <c r="G24" i="25"/>
  <c r="E24" i="25"/>
  <c r="C37" i="1" l="1"/>
  <c r="C36" i="1"/>
  <c r="C35" i="1"/>
  <c r="C34" i="1"/>
  <c r="C33" i="1"/>
  <c r="C32" i="1"/>
  <c r="C31" i="1"/>
  <c r="C30" i="1"/>
  <c r="C29" i="1"/>
  <c r="D32" i="61"/>
  <c r="C32" i="61"/>
  <c r="H32" i="61" s="1"/>
  <c r="D31" i="61"/>
  <c r="C31" i="61"/>
  <c r="F31" i="61" s="1"/>
  <c r="D30" i="61"/>
  <c r="C30" i="61"/>
  <c r="H30" i="61" s="1"/>
  <c r="D29" i="61"/>
  <c r="C29" i="61"/>
  <c r="F29" i="61" s="1"/>
  <c r="D28" i="61"/>
  <c r="C28" i="61"/>
  <c r="F28" i="61" s="1"/>
  <c r="D27" i="61"/>
  <c r="C27" i="61"/>
  <c r="H27" i="61" s="1"/>
  <c r="D26" i="61"/>
  <c r="C26" i="61"/>
  <c r="H26" i="61" s="1"/>
  <c r="D25" i="61"/>
  <c r="C25" i="61"/>
  <c r="H25" i="61" s="1"/>
  <c r="D24" i="61"/>
  <c r="C24" i="61"/>
  <c r="H24" i="61" s="1"/>
  <c r="D23" i="61"/>
  <c r="C23" i="61"/>
  <c r="F23" i="61" s="1"/>
  <c r="C17" i="61"/>
  <c r="C13" i="61"/>
  <c r="C9" i="61"/>
  <c r="C5" i="61"/>
  <c r="D32" i="60"/>
  <c r="C32" i="60"/>
  <c r="H32" i="60" s="1"/>
  <c r="D31" i="60"/>
  <c r="C31" i="60"/>
  <c r="F31" i="60" s="1"/>
  <c r="D30" i="60"/>
  <c r="C30" i="60"/>
  <c r="F30" i="60" s="1"/>
  <c r="D29" i="60"/>
  <c r="C29" i="60"/>
  <c r="H29" i="60" s="1"/>
  <c r="D28" i="60"/>
  <c r="C28" i="60"/>
  <c r="H28" i="60" s="1"/>
  <c r="D27" i="60"/>
  <c r="C27" i="60"/>
  <c r="F27" i="60" s="1"/>
  <c r="D26" i="60"/>
  <c r="C26" i="60"/>
  <c r="H26" i="60" s="1"/>
  <c r="D25" i="60"/>
  <c r="C25" i="60"/>
  <c r="F25" i="60" s="1"/>
  <c r="D24" i="60"/>
  <c r="C24" i="60"/>
  <c r="H24" i="60" s="1"/>
  <c r="D23" i="60"/>
  <c r="C23" i="60"/>
  <c r="F23" i="60" s="1"/>
  <c r="C17" i="60"/>
  <c r="C13" i="60"/>
  <c r="C9" i="60"/>
  <c r="C5" i="60"/>
  <c r="D32" i="59"/>
  <c r="C32" i="59"/>
  <c r="F32" i="59" s="1"/>
  <c r="D31" i="59"/>
  <c r="C31" i="59"/>
  <c r="H31" i="59" s="1"/>
  <c r="D30" i="59"/>
  <c r="C30" i="59"/>
  <c r="H30" i="59" s="1"/>
  <c r="D29" i="59"/>
  <c r="C29" i="59"/>
  <c r="H29" i="59" s="1"/>
  <c r="D28" i="59"/>
  <c r="C28" i="59"/>
  <c r="H28" i="59" s="1"/>
  <c r="D27" i="59"/>
  <c r="C27" i="59"/>
  <c r="F27" i="59" s="1"/>
  <c r="D26" i="59"/>
  <c r="C26" i="59"/>
  <c r="H26" i="59" s="1"/>
  <c r="D25" i="59"/>
  <c r="C25" i="59"/>
  <c r="F25" i="59" s="1"/>
  <c r="D24" i="59"/>
  <c r="C24" i="59"/>
  <c r="F24" i="59" s="1"/>
  <c r="D23" i="59"/>
  <c r="C23" i="59"/>
  <c r="H23" i="59" s="1"/>
  <c r="C17" i="59"/>
  <c r="C13" i="59"/>
  <c r="C9" i="59"/>
  <c r="C5" i="59"/>
  <c r="D32" i="58"/>
  <c r="C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D25" i="58"/>
  <c r="C25" i="58"/>
  <c r="D24" i="58"/>
  <c r="C24" i="58"/>
  <c r="D23" i="58"/>
  <c r="C23" i="58"/>
  <c r="C17" i="58"/>
  <c r="C13" i="58"/>
  <c r="C9" i="58"/>
  <c r="C5" i="58"/>
  <c r="D32" i="57"/>
  <c r="C32" i="57"/>
  <c r="H32" i="57" s="1"/>
  <c r="D31" i="57"/>
  <c r="C31" i="57"/>
  <c r="F31" i="57" s="1"/>
  <c r="D30" i="57"/>
  <c r="C30" i="57"/>
  <c r="H30" i="57" s="1"/>
  <c r="D29" i="57"/>
  <c r="C29" i="57"/>
  <c r="F29" i="57" s="1"/>
  <c r="D28" i="57"/>
  <c r="C28" i="57"/>
  <c r="H28" i="57" s="1"/>
  <c r="D27" i="57"/>
  <c r="C27" i="57"/>
  <c r="F27" i="57" s="1"/>
  <c r="D26" i="57"/>
  <c r="C26" i="57"/>
  <c r="F26" i="57" s="1"/>
  <c r="D25" i="57"/>
  <c r="C25" i="57"/>
  <c r="H25" i="57" s="1"/>
  <c r="D24" i="57"/>
  <c r="C24" i="57"/>
  <c r="H24" i="57" s="1"/>
  <c r="D23" i="57"/>
  <c r="C23" i="57"/>
  <c r="H23" i="57" s="1"/>
  <c r="C17" i="57"/>
  <c r="C13" i="57"/>
  <c r="C9" i="57"/>
  <c r="C5" i="57"/>
  <c r="D32" i="56"/>
  <c r="C32" i="56"/>
  <c r="D31" i="56"/>
  <c r="C31" i="56"/>
  <c r="D30" i="56"/>
  <c r="C30" i="56"/>
  <c r="D29" i="56"/>
  <c r="C29" i="56"/>
  <c r="D28" i="56"/>
  <c r="C28" i="56"/>
  <c r="D27" i="56"/>
  <c r="C27" i="56"/>
  <c r="D26" i="56"/>
  <c r="C26" i="56"/>
  <c r="D25" i="56"/>
  <c r="C25" i="56"/>
  <c r="D24" i="56"/>
  <c r="C24" i="56"/>
  <c r="D23" i="56"/>
  <c r="C23" i="56"/>
  <c r="C17" i="56"/>
  <c r="C13" i="56"/>
  <c r="C9" i="56"/>
  <c r="C5" i="56"/>
  <c r="D32" i="55"/>
  <c r="C32" i="55"/>
  <c r="D31" i="55"/>
  <c r="C31" i="55"/>
  <c r="D30" i="55"/>
  <c r="C30" i="55"/>
  <c r="D29" i="55"/>
  <c r="C29" i="55"/>
  <c r="D28" i="55"/>
  <c r="C28" i="55"/>
  <c r="D27" i="55"/>
  <c r="C27" i="55"/>
  <c r="D26" i="55"/>
  <c r="C26" i="55"/>
  <c r="D25" i="55"/>
  <c r="C25" i="55"/>
  <c r="D24" i="55"/>
  <c r="C24" i="55"/>
  <c r="D23" i="55"/>
  <c r="C23" i="55"/>
  <c r="C17" i="55"/>
  <c r="C13" i="55"/>
  <c r="C9" i="55"/>
  <c r="C5" i="55"/>
  <c r="D32" i="54"/>
  <c r="C32" i="54"/>
  <c r="H32" i="54" s="1"/>
  <c r="D31" i="54"/>
  <c r="C31" i="54"/>
  <c r="F31" i="54" s="1"/>
  <c r="D30" i="54"/>
  <c r="C30" i="54"/>
  <c r="H30" i="54" s="1"/>
  <c r="D29" i="54"/>
  <c r="C29" i="54"/>
  <c r="F29" i="54" s="1"/>
  <c r="D28" i="54"/>
  <c r="C28" i="54"/>
  <c r="F28" i="54" s="1"/>
  <c r="D27" i="54"/>
  <c r="C27" i="54"/>
  <c r="F27" i="54" s="1"/>
  <c r="D26" i="54"/>
  <c r="C26" i="54"/>
  <c r="F26" i="54" s="1"/>
  <c r="D25" i="54"/>
  <c r="C25" i="54"/>
  <c r="H25" i="54" s="1"/>
  <c r="D24" i="54"/>
  <c r="C24" i="54"/>
  <c r="F24" i="54" s="1"/>
  <c r="D23" i="54"/>
  <c r="C23" i="54"/>
  <c r="F23" i="54" s="1"/>
  <c r="C17" i="54"/>
  <c r="C13" i="54"/>
  <c r="C9" i="54"/>
  <c r="C5" i="54"/>
  <c r="D32" i="53"/>
  <c r="C32" i="53"/>
  <c r="F32" i="53" s="1"/>
  <c r="D31" i="53"/>
  <c r="C31" i="53"/>
  <c r="F31" i="53" s="1"/>
  <c r="D30" i="53"/>
  <c r="C30" i="53"/>
  <c r="F30" i="53" s="1"/>
  <c r="D29" i="53"/>
  <c r="C29" i="53"/>
  <c r="F29" i="53" s="1"/>
  <c r="D28" i="53"/>
  <c r="C28" i="53"/>
  <c r="H28" i="53" s="1"/>
  <c r="D27" i="53"/>
  <c r="C27" i="53"/>
  <c r="H27" i="53" s="1"/>
  <c r="D26" i="53"/>
  <c r="C26" i="53"/>
  <c r="H26" i="53" s="1"/>
  <c r="D25" i="53"/>
  <c r="C25" i="53"/>
  <c r="F25" i="53" s="1"/>
  <c r="D24" i="53"/>
  <c r="C24" i="53"/>
  <c r="H24" i="53" s="1"/>
  <c r="D23" i="53"/>
  <c r="C23" i="53"/>
  <c r="F23" i="53" s="1"/>
  <c r="C17" i="53"/>
  <c r="C13" i="53"/>
  <c r="C9" i="53"/>
  <c r="C5" i="53"/>
  <c r="H32" i="59" l="1"/>
  <c r="F28" i="60"/>
  <c r="H24" i="59"/>
  <c r="F30" i="59"/>
  <c r="H28" i="61"/>
  <c r="H26" i="57"/>
  <c r="F32" i="57"/>
  <c r="H30" i="60"/>
  <c r="F26" i="61"/>
  <c r="F24" i="57"/>
  <c r="H23" i="55"/>
  <c r="F23" i="55"/>
  <c r="H25" i="55"/>
  <c r="F25" i="55"/>
  <c r="H31" i="55"/>
  <c r="F31" i="55"/>
  <c r="H27" i="56"/>
  <c r="F27" i="56"/>
  <c r="H25" i="58"/>
  <c r="F25" i="58"/>
  <c r="H29" i="58"/>
  <c r="F29" i="58"/>
  <c r="H28" i="54"/>
  <c r="H30" i="53"/>
  <c r="H27" i="60"/>
  <c r="H31" i="57"/>
  <c r="F28" i="53"/>
  <c r="H29" i="61"/>
  <c r="H25" i="60"/>
  <c r="H29" i="57"/>
  <c r="H31" i="54"/>
  <c r="H23" i="54"/>
  <c r="H25" i="53"/>
  <c r="F27" i="61"/>
  <c r="F29" i="60"/>
  <c r="F31" i="59"/>
  <c r="F23" i="59"/>
  <c r="F25" i="57"/>
  <c r="F25" i="54"/>
  <c r="F23" i="57"/>
  <c r="H26" i="54"/>
  <c r="F30" i="54"/>
  <c r="F26" i="53"/>
  <c r="H31" i="61"/>
  <c r="H23" i="60"/>
  <c r="F32" i="61"/>
  <c r="F24" i="61"/>
  <c r="F26" i="60"/>
  <c r="F28" i="59"/>
  <c r="F30" i="57"/>
  <c r="F32" i="54"/>
  <c r="F24" i="53"/>
  <c r="H27" i="57"/>
  <c r="H29" i="54"/>
  <c r="H31" i="53"/>
  <c r="H23" i="53"/>
  <c r="F25" i="61"/>
  <c r="F29" i="59"/>
  <c r="F27" i="53"/>
  <c r="H27" i="55"/>
  <c r="F27" i="55"/>
  <c r="H25" i="56"/>
  <c r="F25" i="56"/>
  <c r="H29" i="56"/>
  <c r="F29" i="56"/>
  <c r="H31" i="58"/>
  <c r="F31" i="58"/>
  <c r="H24" i="55"/>
  <c r="F24" i="55"/>
  <c r="H28" i="55"/>
  <c r="F28" i="55"/>
  <c r="H32" i="55"/>
  <c r="F32" i="55"/>
  <c r="H24" i="56"/>
  <c r="F24" i="56"/>
  <c r="H26" i="56"/>
  <c r="F26" i="56"/>
  <c r="H28" i="56"/>
  <c r="F28" i="56"/>
  <c r="H30" i="56"/>
  <c r="F30" i="56"/>
  <c r="H32" i="56"/>
  <c r="F32" i="56"/>
  <c r="H24" i="58"/>
  <c r="F24" i="58"/>
  <c r="H26" i="58"/>
  <c r="F26" i="58"/>
  <c r="H28" i="58"/>
  <c r="F28" i="58"/>
  <c r="H30" i="58"/>
  <c r="F30" i="58"/>
  <c r="H32" i="58"/>
  <c r="F32" i="58"/>
  <c r="H24" i="54"/>
  <c r="F30" i="61"/>
  <c r="F32" i="60"/>
  <c r="F24" i="60"/>
  <c r="F26" i="59"/>
  <c r="F28" i="57"/>
  <c r="H23" i="61"/>
  <c r="H27" i="59"/>
  <c r="H27" i="54"/>
  <c r="H29" i="53"/>
  <c r="H29" i="55"/>
  <c r="F29" i="55"/>
  <c r="H23" i="56"/>
  <c r="F23" i="56"/>
  <c r="H31" i="56"/>
  <c r="F31" i="56"/>
  <c r="H23" i="58"/>
  <c r="F23" i="58"/>
  <c r="H27" i="58"/>
  <c r="F27" i="58"/>
  <c r="H26" i="55"/>
  <c r="F26" i="55"/>
  <c r="H30" i="55"/>
  <c r="F30" i="55"/>
  <c r="H32" i="53"/>
  <c r="H31" i="60"/>
  <c r="H25" i="59"/>
  <c r="H58" i="61" l="1"/>
  <c r="H58" i="53"/>
  <c r="H58" i="56"/>
  <c r="H58" i="54"/>
  <c r="H33" i="61"/>
  <c r="H34" i="61" s="1"/>
  <c r="H35" i="61" s="1"/>
  <c r="H58" i="58"/>
  <c r="H33" i="54"/>
  <c r="H34" i="54" s="1"/>
  <c r="H35" i="54" s="1"/>
  <c r="H58" i="59"/>
  <c r="H58" i="60"/>
  <c r="H33" i="53"/>
  <c r="H34" i="53" s="1"/>
  <c r="H35" i="53" s="1"/>
  <c r="H33" i="60"/>
  <c r="H34" i="60" s="1"/>
  <c r="H35" i="60" s="1"/>
  <c r="H33" i="58"/>
  <c r="H34" i="58" s="1"/>
  <c r="H35" i="58" s="1"/>
  <c r="H58" i="57"/>
  <c r="H33" i="56"/>
  <c r="H34" i="56" s="1"/>
  <c r="H35" i="56" s="1"/>
  <c r="H58" i="55"/>
  <c r="H33" i="55"/>
  <c r="H34" i="55" s="1"/>
  <c r="H35" i="55" s="1"/>
  <c r="H33" i="59"/>
  <c r="H34" i="59" s="1"/>
  <c r="H35" i="59" s="1"/>
  <c r="H33" i="57"/>
  <c r="H34" i="57" s="1"/>
  <c r="H35" i="57" s="1"/>
  <c r="F58" i="61"/>
  <c r="F33" i="61"/>
  <c r="F34" i="61" s="1"/>
  <c r="F35" i="61" s="1"/>
  <c r="F58" i="60"/>
  <c r="F33" i="60"/>
  <c r="F34" i="60" s="1"/>
  <c r="F35" i="60" s="1"/>
  <c r="F58" i="59"/>
  <c r="F33" i="59"/>
  <c r="F34" i="59" s="1"/>
  <c r="F35" i="59" s="1"/>
  <c r="F58" i="58"/>
  <c r="F33" i="58"/>
  <c r="F34" i="58" s="1"/>
  <c r="F35" i="58" s="1"/>
  <c r="F58" i="57"/>
  <c r="F33" i="57"/>
  <c r="F34" i="57" s="1"/>
  <c r="F35" i="57" s="1"/>
  <c r="F58" i="56"/>
  <c r="F33" i="56"/>
  <c r="F34" i="56" s="1"/>
  <c r="F35" i="56" s="1"/>
  <c r="F58" i="55"/>
  <c r="F33" i="55"/>
  <c r="F34" i="55" s="1"/>
  <c r="F35" i="55" s="1"/>
  <c r="F58" i="54"/>
  <c r="F33" i="54"/>
  <c r="F34" i="54" s="1"/>
  <c r="F35" i="54" s="1"/>
  <c r="F58" i="53"/>
  <c r="F33" i="53"/>
  <c r="F34" i="53" s="1"/>
  <c r="F35" i="53" s="1"/>
  <c r="C9" i="25"/>
  <c r="C8" i="1" l="1"/>
  <c r="C27" i="25" l="1"/>
  <c r="C26" i="25"/>
  <c r="C25" i="25"/>
  <c r="C24" i="25"/>
  <c r="F25" i="25" l="1"/>
  <c r="H25" i="25"/>
  <c r="F26" i="25"/>
  <c r="H26" i="25"/>
  <c r="F24" i="25"/>
  <c r="H24" i="25"/>
  <c r="F27" i="25"/>
  <c r="H27" i="25"/>
  <c r="C16" i="1"/>
  <c r="C12" i="1"/>
  <c r="C24" i="1" s="1"/>
  <c r="C4" i="1"/>
  <c r="C13" i="25"/>
  <c r="C5" i="25"/>
  <c r="G11" i="1" l="1"/>
  <c r="E28" i="1"/>
  <c r="D28" i="1"/>
  <c r="E29" i="1"/>
  <c r="D29" i="1"/>
  <c r="E30" i="1"/>
  <c r="D30" i="1"/>
  <c r="E31" i="1"/>
  <c r="D31" i="1"/>
  <c r="E32" i="1"/>
  <c r="D32" i="1"/>
  <c r="E33" i="1"/>
  <c r="D33" i="1"/>
  <c r="E34" i="1"/>
  <c r="D34" i="1"/>
  <c r="E35" i="1"/>
  <c r="D35" i="1"/>
  <c r="E36" i="1"/>
  <c r="D36" i="1"/>
  <c r="E37" i="1"/>
  <c r="D37" i="1"/>
  <c r="E38" i="1" l="1"/>
  <c r="E39" i="1"/>
  <c r="E40" i="1" s="1"/>
  <c r="E65" i="1"/>
  <c r="C17" i="25"/>
  <c r="C19" i="25" s="1"/>
  <c r="D32" i="25"/>
  <c r="C32" i="25"/>
  <c r="D31" i="25"/>
  <c r="C31" i="25"/>
  <c r="D30" i="25"/>
  <c r="C30" i="25"/>
  <c r="D29" i="25"/>
  <c r="C29" i="25"/>
  <c r="D28" i="25"/>
  <c r="C28" i="25"/>
  <c r="D27" i="25"/>
  <c r="D26" i="25"/>
  <c r="D25" i="25"/>
  <c r="D24" i="25"/>
  <c r="G23" i="25"/>
  <c r="H23" i="25" s="1"/>
  <c r="E23" i="25"/>
  <c r="F23" i="25" s="1"/>
  <c r="D23" i="25"/>
  <c r="H29" i="25" l="1"/>
  <c r="F29" i="25"/>
  <c r="F31" i="25"/>
  <c r="H31" i="25"/>
  <c r="F28" i="25"/>
  <c r="H28" i="25"/>
  <c r="F30" i="25"/>
  <c r="H30" i="25"/>
  <c r="F32" i="25"/>
  <c r="H32" i="25"/>
  <c r="F58" i="25" l="1"/>
  <c r="H33" i="25"/>
  <c r="H34" i="25" s="1"/>
  <c r="H35" i="25" s="1"/>
  <c r="H58" i="25"/>
  <c r="F33" i="25"/>
  <c r="F34" i="25" s="1"/>
  <c r="F35" i="25" s="1"/>
  <c r="E30" i="13" l="1"/>
  <c r="F30" i="13" s="1"/>
  <c r="E29" i="13"/>
  <c r="F29" i="13" s="1"/>
  <c r="C5" i="13"/>
  <c r="C21" i="13" s="1"/>
  <c r="F21" i="13" l="1"/>
  <c r="E26" i="13"/>
  <c r="E21" i="13"/>
  <c r="E25" i="13" s="1"/>
  <c r="C15" i="13" s="1"/>
  <c r="D21" i="13"/>
  <c r="B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2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6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Existing impervious areas that will be removed and returned to greenspace by the project.</t>
        </r>
      </text>
    </comment>
    <comment ref="C18" authorId="0" shapeId="0" xr:uid="{980F555F-C589-4920-B04F-D0212DA67C57}">
      <text>
        <r>
          <rPr>
            <b/>
            <sz val="12"/>
            <color indexed="81"/>
            <rFont val="Tahoma"/>
            <family val="2"/>
          </rPr>
          <t>Total area of the project site.</t>
        </r>
      </text>
    </comment>
    <comment ref="C20" authorId="0" shapeId="0" xr:uid="{F5637A80-3180-41DC-AC50-16DFB1C0EDCE}">
      <text>
        <r>
          <rPr>
            <b/>
            <sz val="12"/>
            <color indexed="81"/>
            <rFont val="Tahoma"/>
            <family val="2"/>
          </rPr>
          <t xml:space="preserve">Total area that has a qualifying restriction. </t>
        </r>
      </text>
    </comment>
    <comment ref="C24" authorId="0" shapeId="0" xr:uid="{00000000-0006-0000-0000-000005000000}">
      <text>
        <r>
          <rPr>
            <b/>
            <sz val="12"/>
            <color indexed="81"/>
            <rFont val="Tahoma"/>
            <family val="2"/>
          </rPr>
          <t>Calculated as 1 inch from all new impervious surfaces and 1 inch from 10% of all reconstructed surfaces.  If site is constrained, then it is 0.5 inches.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A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785496E5-BF97-4BAD-B4C7-60758F9C60B2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4A410C2C-0A4B-4D71-9D72-C7309D0F36DE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B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7900EBE4-DFE1-49A3-9F20-A979D7A50018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2EFBFDBE-778C-42DE-B110-3E41355DB941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2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00000000-0006-0000-0200-000002000000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00000000-0006-0000-0200-000003000000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C281583E-3393-4232-A6C0-8E1046BB856A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F6F2E4AC-4C5A-4EF8-85A9-5FCA0E81CA79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BC80848A-10AC-4762-8DE3-4F8137EE20DB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DB6D3251-A931-45EC-90E3-1A0102B183A0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5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A1AFC25E-E791-4ACF-B087-F3DA1A9F0F61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741D0C08-DAD3-4A94-9D7A-1ADFA865B7CA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6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BA228C24-347F-4441-A6E3-259777361948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6F44BBC0-1E1F-4444-8294-288E4F56ED75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7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5B531F56-A99B-42FF-8A87-8896306FD18E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D5679264-5DC5-4BDA-A96B-A846DD51D747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8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C1CCC38B-BAE9-4E37-B20D-D1A8C0187300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B3291041-8F0D-44D7-9B0E-B400E384DA45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Sundby</author>
  </authors>
  <commentList>
    <comment ref="C3" authorId="0" shapeId="0" xr:uid="{00000000-0006-0000-0900-000001000000}">
      <text>
        <r>
          <rPr>
            <b/>
            <sz val="12"/>
            <color indexed="81"/>
            <rFont val="Tahoma"/>
            <family val="2"/>
          </rPr>
          <t>Existing impervious areas that will be impacted by the project.</t>
        </r>
      </text>
    </comment>
    <comment ref="C7" authorId="0" shapeId="0" xr:uid="{36667C9D-2035-48D7-8B98-165F867E573F}">
      <text>
        <r>
          <rPr>
            <b/>
            <sz val="12"/>
            <color indexed="81"/>
            <rFont val="Tahoma"/>
            <family val="2"/>
          </rPr>
          <t>Removal of impervious surfaces, including the removal of subgrade.</t>
        </r>
      </text>
    </comment>
    <comment ref="C19" authorId="0" shapeId="0" xr:uid="{31D558B6-138D-4BB6-9669-1F5107674B88}">
      <text>
        <r>
          <rPr>
            <b/>
            <sz val="12"/>
            <color indexed="81"/>
            <rFont val="Tahoma"/>
            <family val="2"/>
          </rPr>
          <t>Calculated as the Max of 1 inch from NET new impervious surfaces or 0.5 inch from NET new impervious surfaces plus reconstructed impervious surfaces.</t>
        </r>
      </text>
    </comment>
  </commentList>
</comments>
</file>

<file path=xl/sharedStrings.xml><?xml version="1.0" encoding="utf-8"?>
<sst xmlns="http://schemas.openxmlformats.org/spreadsheetml/2006/main" count="480" uniqueCount="89">
  <si>
    <t>Select BMP</t>
  </si>
  <si>
    <t>Volume Reduction Credit</t>
  </si>
  <si>
    <t>TP Credit</t>
  </si>
  <si>
    <t>TSS Credit</t>
  </si>
  <si>
    <t>Unit</t>
  </si>
  <si>
    <t>Cubic Feet</t>
  </si>
  <si>
    <t>(Enter Cubic Feet Here)</t>
  </si>
  <si>
    <t>Amended Soil (Square Feet)</t>
  </si>
  <si>
    <t>Square Feet</t>
  </si>
  <si>
    <t>(Enter Square Feet Here)</t>
  </si>
  <si>
    <t>*NOTE - .5" over ammended area</t>
  </si>
  <si>
    <t>Impervious Area (SQ FT)</t>
  </si>
  <si>
    <t>Volume to be Retained</t>
  </si>
  <si>
    <t>Water Quality Volume</t>
  </si>
  <si>
    <t>Select BMP (Drop down)</t>
  </si>
  <si>
    <t>BMP Details (Volume, Area)</t>
  </si>
  <si>
    <t>Units</t>
  </si>
  <si>
    <t>Total Volume Treated</t>
  </si>
  <si>
    <t>Percent of Requirement</t>
  </si>
  <si>
    <t>INPUT CELLS</t>
  </si>
  <si>
    <t>CALCULATION CELLS</t>
  </si>
  <si>
    <t>RESULTS CELLS</t>
  </si>
  <si>
    <t>(Enter BMP Details Here)</t>
  </si>
  <si>
    <t>Volume
Reduction</t>
  </si>
  <si>
    <t>Do BMPS have enough Capacity?</t>
  </si>
  <si>
    <t>TP Quality Treatment Volume</t>
  </si>
  <si>
    <t>TSS Quality Treatment Volume</t>
  </si>
  <si>
    <t>Impervious Area (Acre)</t>
  </si>
  <si>
    <t>TP Treatment</t>
  </si>
  <si>
    <t>TSS Treatment</t>
  </si>
  <si>
    <t>Subwatershed Model Label</t>
  </si>
  <si>
    <t>Irrigation Rate (1-2 inches/week)</t>
  </si>
  <si>
    <t>Irrigation Area (Sq Ft)</t>
  </si>
  <si>
    <t>Limiting Criteria</t>
  </si>
  <si>
    <t>Area Required (SQ FT)</t>
  </si>
  <si>
    <t>Minimum Pond Irrigation Storage (cf)</t>
  </si>
  <si>
    <t>Minimum Tank Irrigation Storage (cf)</t>
  </si>
  <si>
    <t>Meeting Minimum Pond Storage</t>
  </si>
  <si>
    <t>Meeting Minimum Tank Storage</t>
  </si>
  <si>
    <t>Pond Storage (cf)</t>
  </si>
  <si>
    <t>Tank Storage (cf)</t>
  </si>
  <si>
    <t>Volume
Reduction (cf)</t>
  </si>
  <si>
    <t>Sq Ft</t>
  </si>
  <si>
    <t>Maximum Irrigation Area based upon Pond Size</t>
  </si>
  <si>
    <t>Maximum Irrigation Area based upon Tank Size</t>
  </si>
  <si>
    <t>Project Name</t>
  </si>
  <si>
    <t>Volume credit</t>
  </si>
  <si>
    <t>BMP ID#</t>
  </si>
  <si>
    <t>Bioretention &gt;3' Seperation (Cubic Feet)</t>
  </si>
  <si>
    <t>Bioretention &lt;3' Seperation (Cubic Feet)</t>
  </si>
  <si>
    <t>Extra Storage</t>
  </si>
  <si>
    <t>Extra Credit</t>
  </si>
  <si>
    <t>Bioretention Swale (Cubic Feet)</t>
  </si>
  <si>
    <t>Disconnecting Impervious Surface (Square Feet)</t>
  </si>
  <si>
    <t>Hydrodynamic Separator (Square Feet)</t>
  </si>
  <si>
    <t>Stormwater Reuse (Square Feet)</t>
  </si>
  <si>
    <t>Pervious Pavement (Cubic Feet)</t>
  </si>
  <si>
    <t>Iron Enhanced Sand Filter with &lt;3' Seperation (Cubic Feet)</t>
  </si>
  <si>
    <t>Iron Enhanced Sand Filter with &gt;3' Seperation (Cubic Feet)</t>
  </si>
  <si>
    <t>Total Area (Acre)</t>
  </si>
  <si>
    <t>Existing Impervious Area (Acre)</t>
  </si>
  <si>
    <t>Existing Impervious Area (SQ FT)</t>
  </si>
  <si>
    <t>Proposed Impervious Area (Acre)</t>
  </si>
  <si>
    <t>Proposed Impervious Area (SQ FT)</t>
  </si>
  <si>
    <t>Proposed Reconstructed Impervious (Acre)</t>
  </si>
  <si>
    <t>Proposed Reconstructed Impervious (SQ FT))</t>
  </si>
  <si>
    <t>Proposed Reconstructed Impervious (SQ FT)</t>
  </si>
  <si>
    <t>Final Credit</t>
  </si>
  <si>
    <t>Impervious Area Removed (SQ FT)</t>
  </si>
  <si>
    <t>Removed Impervious Area (Acre)</t>
  </si>
  <si>
    <t>Removed Impervious Area (SQ FT)</t>
  </si>
  <si>
    <t>Pond MN Stormwater Manual (Cubic Feet)</t>
  </si>
  <si>
    <t>Pond MN Stormwater Manual with Filtration (Cubic Feet)</t>
  </si>
  <si>
    <t>Pond NURP (Cubic Feet)</t>
  </si>
  <si>
    <t>Pond NURP with Filtration (Cubic Feet)</t>
  </si>
  <si>
    <t>Proposed New Impervious Area (Acre)</t>
  </si>
  <si>
    <t>Proposed New Impervious Area (SQ FT)</t>
  </si>
  <si>
    <t>Constrained Area (Acre)</t>
  </si>
  <si>
    <t>Constrained Site</t>
  </si>
  <si>
    <t>IF((C12-C8)*0.5/12&gt;(C12-C8+C16)*0.25/12,(C12-C8)*0.5/12,(C12-C8+C16)*0.25/12)))</t>
  </si>
  <si>
    <t>constrained</t>
  </si>
  <si>
    <t>Infiltration (Cubic Feet)</t>
  </si>
  <si>
    <t>Underground Storage (Cubic Feet)</t>
  </si>
  <si>
    <t>Rock Storage (Cubic Feet)</t>
  </si>
  <si>
    <t>Linear Sub 1</t>
  </si>
  <si>
    <t>Preserved/restored, Floodplain Prairie (Square Feet)</t>
  </si>
  <si>
    <t>Preserved/restored, Floodplain Woodland (Square Feet)</t>
  </si>
  <si>
    <t>Preserved/restored, Prairie (Square Feet)</t>
  </si>
  <si>
    <t>Preserved/restored, Woodland (Square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</si>
</sst>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rgb="FF3F3F76"/>
      <name val="Calibri"/>
      <family val="2"/>
      <scheme val="minor"/>
    </font>
    <font>
      <b/>
      <sz val="12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</cellStyleXfs>
  <cellXfs count="92">
    <xf numFmtId="0" fontId="0" fillId="0" borderId="0" xfId="0"/>
    <xf numFmtId="10" fontId="0" fillId="0" borderId="0" xfId="0" applyNumberFormat="1"/>
    <xf numFmtId="0" fontId="4" fillId="5" borderId="0" xfId="0" applyFont="1" applyFill="1" applyAlignment="1">
      <alignment horizontal="left" vertical="center"/>
    </xf>
    <xf numFmtId="3" fontId="0" fillId="0" borderId="0" xfId="0" applyNumberFormat="1" applyAlignment="1">
      <alignment horizontal="left"/>
    </xf>
    <xf numFmtId="0" fontId="4" fillId="5" borderId="3" xfId="0" applyFont="1" applyFill="1" applyBorder="1"/>
    <xf numFmtId="3" fontId="2" fillId="3" borderId="1" xfId="2" applyNumberFormat="1" applyAlignment="1" applyProtection="1">
      <alignment horizontal="center"/>
      <protection hidden="1"/>
    </xf>
    <xf numFmtId="0" fontId="1" fillId="2" borderId="6" xfId="1" applyBorder="1" applyAlignment="1" applyProtection="1">
      <alignment horizontal="center"/>
      <protection locked="0"/>
    </xf>
    <xf numFmtId="3" fontId="1" fillId="2" borderId="1" xfId="1" applyNumberFormat="1" applyBorder="1" applyAlignment="1" applyProtection="1">
      <alignment horizontal="center"/>
      <protection locked="0" hidden="1"/>
    </xf>
    <xf numFmtId="0" fontId="1" fillId="2" borderId="8" xfId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4" borderId="2" xfId="3" applyAlignment="1" applyProtection="1">
      <alignment horizontal="center" wrapText="1"/>
      <protection hidden="1"/>
    </xf>
    <xf numFmtId="0" fontId="3" fillId="4" borderId="2" xfId="3" applyAlignment="1" applyProtection="1">
      <alignment horizontal="center"/>
      <protection hidden="1"/>
    </xf>
    <xf numFmtId="0" fontId="3" fillId="4" borderId="2" xfId="3" applyAlignment="1" applyProtection="1">
      <alignment horizontal="center" vertical="center"/>
      <protection hidden="1"/>
    </xf>
    <xf numFmtId="0" fontId="6" fillId="3" borderId="1" xfId="2" applyFont="1" applyAlignment="1">
      <alignment horizontal="center" vertical="center"/>
    </xf>
    <xf numFmtId="0" fontId="7" fillId="4" borderId="2" xfId="3" applyFont="1" applyAlignment="1">
      <alignment horizontal="center" vertical="center"/>
    </xf>
    <xf numFmtId="0" fontId="4" fillId="5" borderId="4" xfId="0" applyFont="1" applyFill="1" applyBorder="1" applyAlignment="1" applyProtection="1">
      <alignment horizontal="center" vertical="center" wrapText="1"/>
      <protection hidden="1"/>
    </xf>
    <xf numFmtId="0" fontId="4" fillId="5" borderId="5" xfId="0" applyFont="1" applyFill="1" applyBorder="1" applyAlignment="1" applyProtection="1">
      <alignment horizontal="center" vertical="center" wrapText="1"/>
      <protection hidden="1"/>
    </xf>
    <xf numFmtId="9" fontId="3" fillId="4" borderId="2" xfId="3" applyNumberFormat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left" vertical="center"/>
    </xf>
    <xf numFmtId="0" fontId="0" fillId="0" borderId="0" xfId="0" applyFill="1"/>
    <xf numFmtId="4" fontId="1" fillId="0" borderId="0" xfId="1" applyNumberFormat="1" applyFill="1" applyBorder="1" applyAlignment="1" applyProtection="1">
      <alignment horizontal="center" vertical="center" wrapText="1"/>
      <protection locked="0"/>
    </xf>
    <xf numFmtId="4" fontId="1" fillId="2" borderId="7" xfId="1" applyNumberFormat="1" applyBorder="1" applyAlignment="1" applyProtection="1">
      <alignment horizontal="center" vertical="center" wrapText="1"/>
      <protection locked="0"/>
    </xf>
    <xf numFmtId="3" fontId="2" fillId="3" borderId="7" xfId="2" applyNumberFormat="1" applyBorder="1" applyAlignment="1" applyProtection="1">
      <alignment horizontal="center"/>
      <protection hidden="1"/>
    </xf>
    <xf numFmtId="3" fontId="3" fillId="4" borderId="9" xfId="3" applyNumberFormat="1" applyBorder="1" applyAlignment="1" applyProtection="1">
      <alignment horizontal="center" vertical="center"/>
      <protection hidden="1"/>
    </xf>
    <xf numFmtId="3" fontId="2" fillId="3" borderId="10" xfId="2" applyNumberFormat="1" applyBorder="1" applyAlignment="1" applyProtection="1">
      <alignment horizontal="center"/>
      <protection hidden="1"/>
    </xf>
    <xf numFmtId="9" fontId="2" fillId="3" borderId="10" xfId="2" applyNumberFormat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9" fontId="2" fillId="3" borderId="12" xfId="2" applyNumberFormat="1" applyBorder="1" applyAlignment="1" applyProtection="1">
      <alignment horizontal="center"/>
      <protection hidden="1"/>
    </xf>
    <xf numFmtId="0" fontId="3" fillId="4" borderId="9" xfId="3" applyBorder="1" applyAlignment="1" applyProtection="1">
      <alignment horizontal="center" wrapText="1"/>
      <protection hidden="1"/>
    </xf>
    <xf numFmtId="0" fontId="4" fillId="5" borderId="13" xfId="0" applyFont="1" applyFill="1" applyBorder="1" applyAlignment="1" applyProtection="1">
      <alignment horizontal="center" vertical="center" wrapText="1"/>
      <protection hidden="1"/>
    </xf>
    <xf numFmtId="3" fontId="2" fillId="3" borderId="14" xfId="2" applyNumberForma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3" fontId="2" fillId="3" borderId="17" xfId="2" applyNumberFormat="1" applyBorder="1" applyAlignment="1" applyProtection="1">
      <alignment horizontal="center"/>
      <protection hidden="1"/>
    </xf>
    <xf numFmtId="3" fontId="2" fillId="0" borderId="0" xfId="2" applyNumberFormat="1" applyFill="1" applyBorder="1" applyAlignment="1" applyProtection="1">
      <alignment horizontal="center"/>
      <protection hidden="1"/>
    </xf>
    <xf numFmtId="3" fontId="1" fillId="2" borderId="7" xfId="1" applyNumberFormat="1" applyBorder="1" applyAlignment="1" applyProtection="1">
      <alignment horizontal="center" vertical="center" wrapText="1"/>
      <protection locked="0"/>
    </xf>
    <xf numFmtId="3" fontId="2" fillId="3" borderId="16" xfId="2" applyNumberFormat="1" applyFont="1" applyBorder="1" applyAlignment="1" applyProtection="1">
      <alignment horizontal="center" vertical="center"/>
      <protection hidden="1"/>
    </xf>
    <xf numFmtId="3" fontId="2" fillId="3" borderId="23" xfId="2" applyNumberFormat="1" applyFont="1" applyBorder="1" applyAlignment="1" applyProtection="1">
      <alignment horizontal="center" vertical="center"/>
      <protection hidden="1"/>
    </xf>
    <xf numFmtId="3" fontId="2" fillId="3" borderId="26" xfId="2" applyNumberFormat="1" applyFont="1" applyBorder="1" applyAlignment="1" applyProtection="1">
      <alignment horizontal="center" vertical="center"/>
      <protection hidden="1"/>
    </xf>
    <xf numFmtId="0" fontId="1" fillId="2" borderId="33" xfId="1" applyBorder="1" applyAlignment="1" applyProtection="1">
      <alignment horizontal="center"/>
      <protection locked="0"/>
    </xf>
    <xf numFmtId="0" fontId="5" fillId="2" borderId="1" xfId="1" applyFont="1" applyAlignment="1" applyProtection="1">
      <alignment horizontal="center" vertical="center"/>
    </xf>
    <xf numFmtId="0" fontId="9" fillId="7" borderId="27" xfId="0" applyFont="1" applyFill="1" applyBorder="1" applyProtection="1"/>
    <xf numFmtId="0" fontId="0" fillId="0" borderId="0" xfId="0" applyProtection="1"/>
    <xf numFmtId="0" fontId="4" fillId="5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4" fontId="1" fillId="0" borderId="0" xfId="1" applyNumberFormat="1" applyFill="1" applyBorder="1" applyAlignment="1" applyProtection="1">
      <alignment horizontal="center" vertical="center" wrapText="1"/>
    </xf>
    <xf numFmtId="0" fontId="0" fillId="0" borderId="0" xfId="0" applyFill="1" applyProtection="1"/>
    <xf numFmtId="3" fontId="0" fillId="0" borderId="0" xfId="0" applyNumberFormat="1" applyAlignment="1" applyProtection="1">
      <alignment horizontal="left"/>
    </xf>
    <xf numFmtId="0" fontId="4" fillId="5" borderId="3" xfId="0" applyFont="1" applyFill="1" applyBorder="1" applyProtection="1"/>
    <xf numFmtId="0" fontId="4" fillId="6" borderId="0" xfId="0" applyFont="1" applyFill="1" applyBorder="1" applyProtection="1"/>
    <xf numFmtId="3" fontId="0" fillId="6" borderId="0" xfId="0" applyNumberFormat="1" applyFill="1" applyBorder="1" applyAlignment="1" applyProtection="1">
      <alignment horizontal="center"/>
    </xf>
    <xf numFmtId="3" fontId="0" fillId="0" borderId="0" xfId="0" applyNumberFormat="1" applyProtection="1"/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center" wrapText="1"/>
    </xf>
    <xf numFmtId="3" fontId="1" fillId="2" borderId="16" xfId="1" applyNumberFormat="1" applyFont="1" applyBorder="1" applyAlignment="1" applyProtection="1">
      <alignment horizontal="center"/>
      <protection hidden="1"/>
    </xf>
    <xf numFmtId="0" fontId="8" fillId="0" borderId="0" xfId="0" applyFont="1" applyProtection="1"/>
    <xf numFmtId="0" fontId="1" fillId="0" borderId="0" xfId="1" applyFill="1" applyBorder="1" applyAlignment="1" applyProtection="1">
      <alignment horizontal="center"/>
    </xf>
    <xf numFmtId="3" fontId="1" fillId="0" borderId="0" xfId="1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3" fontId="0" fillId="0" borderId="22" xfId="0" applyNumberFormat="1" applyBorder="1" applyAlignment="1" applyProtection="1">
      <alignment horizontal="center"/>
    </xf>
    <xf numFmtId="3" fontId="0" fillId="0" borderId="24" xfId="0" applyNumberFormat="1" applyFill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0" fillId="0" borderId="0" xfId="0" applyFill="1" applyBorder="1" applyProtection="1"/>
    <xf numFmtId="0" fontId="4" fillId="0" borderId="0" xfId="0" applyFont="1" applyFill="1" applyBorder="1" applyProtection="1"/>
    <xf numFmtId="0" fontId="6" fillId="3" borderId="1" xfId="2" applyFont="1" applyAlignment="1" applyProtection="1">
      <alignment horizontal="center" vertical="center"/>
    </xf>
    <xf numFmtId="0" fontId="7" fillId="4" borderId="2" xfId="3" applyFont="1" applyAlignment="1" applyProtection="1">
      <alignment horizontal="center" vertical="center"/>
    </xf>
    <xf numFmtId="0" fontId="9" fillId="7" borderId="28" xfId="0" applyFont="1" applyFill="1" applyBorder="1" applyProtection="1">
      <protection locked="0"/>
    </xf>
    <xf numFmtId="0" fontId="0" fillId="0" borderId="0" xfId="0" applyBorder="1" applyProtection="1"/>
    <xf numFmtId="3" fontId="1" fillId="2" borderId="1" xfId="1" applyNumberFormat="1" applyBorder="1" applyAlignment="1" applyProtection="1">
      <alignment horizontal="center"/>
      <protection locked="0"/>
    </xf>
    <xf numFmtId="3" fontId="1" fillId="2" borderId="23" xfId="1" applyNumberFormat="1" applyBorder="1" applyAlignment="1" applyProtection="1">
      <alignment horizontal="center"/>
      <protection locked="0"/>
    </xf>
    <xf numFmtId="3" fontId="3" fillId="4" borderId="2" xfId="3" applyNumberFormat="1" applyAlignment="1" applyProtection="1">
      <alignment horizontal="center"/>
      <protection hidden="1"/>
    </xf>
    <xf numFmtId="0" fontId="3" fillId="0" borderId="0" xfId="3" applyFill="1" applyBorder="1" applyAlignment="1" applyProtection="1">
      <alignment horizontal="center"/>
      <protection hidden="1"/>
    </xf>
    <xf numFmtId="3" fontId="3" fillId="0" borderId="0" xfId="3" applyNumberFormat="1" applyFill="1" applyBorder="1" applyAlignment="1" applyProtection="1">
      <alignment horizontal="center"/>
      <protection hidden="1"/>
    </xf>
    <xf numFmtId="3" fontId="2" fillId="3" borderId="0" xfId="2" applyNumberFormat="1" applyBorder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0" fillId="5" borderId="3" xfId="0" applyFont="1" applyFill="1" applyBorder="1" applyAlignment="1" applyProtection="1">
      <alignment horizontal="center" vertical="center"/>
    </xf>
    <xf numFmtId="3" fontId="11" fillId="2" borderId="7" xfId="1" applyNumberFormat="1" applyFont="1" applyBorder="1" applyAlignment="1" applyProtection="1">
      <alignment horizontal="center" vertical="center" wrapText="1"/>
      <protection locked="0"/>
    </xf>
    <xf numFmtId="9" fontId="0" fillId="0" borderId="0" xfId="0" applyNumberFormat="1"/>
    <xf numFmtId="0" fontId="3" fillId="4" borderId="19" xfId="3" applyBorder="1" applyAlignment="1" applyProtection="1">
      <alignment horizontal="center" vertical="center"/>
      <protection hidden="1"/>
    </xf>
    <xf numFmtId="0" fontId="3" fillId="4" borderId="20" xfId="3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31" xfId="0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3" fontId="1" fillId="2" borderId="23" xfId="1" applyNumberFormat="1" applyBorder="1" applyAlignment="1" applyProtection="1">
      <alignment horizontal="center"/>
      <protection locked="0" hidden="1"/>
    </xf>
  </cellXfs>
  <cellStyles count="4">
    <cellStyle name="Calculation" xfId="2" builtinId="22"/>
    <cellStyle name="Check Cell" xfId="3" builtinId="23"/>
    <cellStyle name="Input" xfId="1" builtinId="20"/>
    <cellStyle name="Normal" xfId="0" builtinId="0"/>
  </cellStyles>
  <dxfs count="7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2C886091-9D66-4CCF-A689-E38DE3DA9752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2:G65"/>
  <sheetViews>
    <sheetView zoomScale="80" zoomScaleNormal="80" workbookViewId="0">
      <selection activeCell="B28" sqref="B28:B37"/>
    </sheetView>
  </sheetViews>
  <sheetFormatPr defaultRowHeight="15" x14ac:dyDescent="0.25"/>
  <cols>
    <col min="1" max="1" width="11.7109375" customWidth="1"/>
    <col min="2" max="2" width="43" customWidth="1"/>
    <col min="3" max="3" width="32.85546875" bestFit="1" customWidth="1"/>
    <col min="4" max="4" width="39.5703125" customWidth="1"/>
    <col min="5" max="5" width="18.7109375" customWidth="1"/>
  </cols>
  <sheetData>
    <row r="2" spans="2:7" ht="18" customHeight="1" x14ac:dyDescent="0.25">
      <c r="B2" s="42" t="s">
        <v>60</v>
      </c>
      <c r="C2" s="21">
        <v>0</v>
      </c>
    </row>
    <row r="3" spans="2:7" ht="18" hidden="1" customHeight="1" x14ac:dyDescent="0.25">
      <c r="B3" s="43"/>
      <c r="C3" s="75"/>
    </row>
    <row r="4" spans="2:7" ht="18" hidden="1" customHeight="1" x14ac:dyDescent="0.25">
      <c r="B4" s="42" t="s">
        <v>61</v>
      </c>
      <c r="C4" s="22">
        <f>C2*43560</f>
        <v>0</v>
      </c>
    </row>
    <row r="5" spans="2:7" ht="7.5" customHeight="1" x14ac:dyDescent="0.25">
      <c r="B5" s="79"/>
      <c r="C5" s="41"/>
    </row>
    <row r="6" spans="2:7" ht="18" customHeight="1" x14ac:dyDescent="0.25">
      <c r="B6" s="42" t="s">
        <v>69</v>
      </c>
      <c r="C6" s="21">
        <v>0</v>
      </c>
    </row>
    <row r="7" spans="2:7" ht="18" hidden="1" customHeight="1" x14ac:dyDescent="0.25">
      <c r="B7" s="79"/>
      <c r="C7" s="41"/>
    </row>
    <row r="8" spans="2:7" ht="18" hidden="1" customHeight="1" x14ac:dyDescent="0.25">
      <c r="B8" s="42" t="s">
        <v>68</v>
      </c>
      <c r="C8" s="22">
        <f>C6*43560</f>
        <v>0</v>
      </c>
    </row>
    <row r="9" spans="2:7" ht="7.5" customHeight="1" x14ac:dyDescent="0.25">
      <c r="B9" s="79"/>
      <c r="C9" s="41"/>
    </row>
    <row r="10" spans="2:7" ht="18" customHeight="1" x14ac:dyDescent="0.25">
      <c r="B10" s="42" t="s">
        <v>62</v>
      </c>
      <c r="C10" s="21">
        <v>0</v>
      </c>
    </row>
    <row r="11" spans="2:7" ht="18" hidden="1" customHeight="1" x14ac:dyDescent="0.25">
      <c r="B11" s="43"/>
      <c r="C11" s="44"/>
      <c r="G11" t="e">
        <f>IF(C22="Yes",IF((C12-C8)*0.5/12&gt;(C12-C8+C16)*0.25/12,(C12-C8)*0.5/12,(C12-C8+C16)*0.25/12),IF((C12-C8)*1/12&gt;(C12-C8+C16)*0.5/12,(C12-C8)*1/12,(C12-C8+C16)*0.5/12))</f>
        <v>#DIV/0!</v>
      </c>
    </row>
    <row r="12" spans="2:7" ht="18" hidden="1" customHeight="1" x14ac:dyDescent="0.25">
      <c r="B12" s="42" t="s">
        <v>63</v>
      </c>
      <c r="C12" s="22">
        <f>C10*43560</f>
        <v>0</v>
      </c>
    </row>
    <row r="13" spans="2:7" ht="7.5" customHeight="1" x14ac:dyDescent="0.25">
      <c r="B13" s="43"/>
      <c r="C13" s="75"/>
    </row>
    <row r="14" spans="2:7" ht="18" customHeight="1" x14ac:dyDescent="0.25">
      <c r="B14" s="42" t="s">
        <v>64</v>
      </c>
      <c r="C14" s="21">
        <v>0</v>
      </c>
    </row>
    <row r="15" spans="2:7" ht="18" hidden="1" customHeight="1" x14ac:dyDescent="0.25"/>
    <row r="16" spans="2:7" ht="18" hidden="1" customHeight="1" x14ac:dyDescent="0.25">
      <c r="B16" s="76" t="s">
        <v>66</v>
      </c>
      <c r="C16" s="22">
        <f>C14*43560</f>
        <v>0</v>
      </c>
      <c r="F16" t="s">
        <v>80</v>
      </c>
      <c r="G16" t="s">
        <v>79</v>
      </c>
    </row>
    <row r="17" spans="1:5" s="19" customFormat="1" ht="7.5" customHeight="1" x14ac:dyDescent="0.25">
      <c r="B17" s="18"/>
      <c r="C17" s="20"/>
    </row>
    <row r="18" spans="1:5" s="19" customFormat="1" ht="18" customHeight="1" x14ac:dyDescent="0.25">
      <c r="B18" s="2" t="s">
        <v>59</v>
      </c>
      <c r="C18" s="21">
        <v>0</v>
      </c>
    </row>
    <row r="19" spans="1:5" s="19" customFormat="1" ht="7.5" customHeight="1" x14ac:dyDescent="0.25">
      <c r="B19"/>
      <c r="C19" s="33"/>
    </row>
    <row r="20" spans="1:5" s="19" customFormat="1" ht="18" customHeight="1" x14ac:dyDescent="0.25">
      <c r="B20" s="2" t="s">
        <v>77</v>
      </c>
      <c r="C20" s="21">
        <v>0</v>
      </c>
    </row>
    <row r="21" spans="1:5" s="19" customFormat="1" ht="7.5" customHeight="1" thickBot="1" x14ac:dyDescent="0.3">
      <c r="B21"/>
      <c r="C21" s="3"/>
    </row>
    <row r="22" spans="1:5" s="19" customFormat="1" ht="18" customHeight="1" thickBot="1" x14ac:dyDescent="0.3">
      <c r="B22" s="4" t="s">
        <v>78</v>
      </c>
      <c r="C22" s="5" t="e">
        <f>IF(C20/C18&lt;0.5,"No","Yes")</f>
        <v>#DIV/0!</v>
      </c>
    </row>
    <row r="23" spans="1:5" ht="7.5" customHeight="1" thickBot="1" x14ac:dyDescent="0.3">
      <c r="C23" s="3"/>
    </row>
    <row r="24" spans="1:5" ht="18" customHeight="1" thickBot="1" x14ac:dyDescent="0.3">
      <c r="B24" s="4" t="s">
        <v>12</v>
      </c>
      <c r="C24" s="5" t="e">
        <f>IF(C22="Yes",IF((C12-C8)*0.5/12&gt;(C12-C8+C16)*0.25/12,(C12-C8)*0.5/12,(C12-C8+C16)*0.25/12),IF((C12-C8)*1/12&gt;(C12-C8+C16)*0.5/12,(C12-C8)*1/12,(C12-C8+C16)*0.5/12))</f>
        <v>#DIV/0!</v>
      </c>
    </row>
    <row r="25" spans="1:5" ht="17.25" customHeight="1" x14ac:dyDescent="0.25"/>
    <row r="26" spans="1:5" ht="15.75" thickBot="1" x14ac:dyDescent="0.3"/>
    <row r="27" spans="1:5" ht="30" x14ac:dyDescent="0.25">
      <c r="A27" s="29" t="s">
        <v>47</v>
      </c>
      <c r="B27" s="29" t="s">
        <v>14</v>
      </c>
      <c r="C27" s="15" t="s">
        <v>15</v>
      </c>
      <c r="D27" s="15" t="s">
        <v>16</v>
      </c>
      <c r="E27" s="16" t="s">
        <v>23</v>
      </c>
    </row>
    <row r="28" spans="1:5" ht="15" customHeight="1" x14ac:dyDescent="0.25">
      <c r="A28" s="6"/>
      <c r="B28" s="7" t="s">
        <v>0</v>
      </c>
      <c r="C28" s="70" t="str">
        <f>IF(B28="Stormwater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Calculations'!$E$30))),(VLOOKUP(B28,'BMP List'!$A:$F,6,FALSE)))</f>
        <v>(Enter BMP Details Here)</v>
      </c>
      <c r="D28" s="26" t="str">
        <f>VLOOKUP(B28,'BMP List'!$A:$E,5,FALSE)</f>
        <v>Unit</v>
      </c>
      <c r="E28" s="30" t="str">
        <f>IF(B28="Stormwater Reuse (Square Feet)",'Stormwater Reuse Calculations'!C14,IF(ISERROR((VLOOKUP($B28,'BMP List'!A:B,2,FALSE)*$C28)),"",(VLOOKUP($B28,'BMP List'!A:B,2,FALSE)*$C28)))</f>
        <v/>
      </c>
    </row>
    <row r="29" spans="1:5" x14ac:dyDescent="0.25">
      <c r="A29" s="6"/>
      <c r="B29" s="7" t="s">
        <v>0</v>
      </c>
      <c r="C29" s="70" t="str">
        <f>IF(B29="Stormwater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Calculations'!$E$30))),(VLOOKUP(B29,'BMP List'!$A:$F,6,FALSE)))</f>
        <v>(Enter BMP Details Here)</v>
      </c>
      <c r="D29" s="26" t="str">
        <f>VLOOKUP(B29,'BMP List'!$A:$E,5,FALSE)</f>
        <v>Unit</v>
      </c>
      <c r="E29" s="30" t="str">
        <f>IF(B29="Stormwater Reuse (Square Feet)",'Stormwater Reuse Calculations'!C15,IF(ISERROR((VLOOKUP($B29,'BMP List'!A:B,2,FALSE)*$C29)),"",(VLOOKUP($B29,'BMP List'!A:B,2,FALSE)*$C29)))</f>
        <v/>
      </c>
    </row>
    <row r="30" spans="1:5" ht="15" customHeight="1" x14ac:dyDescent="0.25">
      <c r="A30" s="6"/>
      <c r="B30" s="7" t="s">
        <v>0</v>
      </c>
      <c r="C30" s="70" t="str">
        <f>IF(B30="Stormwater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Calculations'!$E$30))),(VLOOKUP(B30,'BMP List'!$A:$F,6,FALSE)))</f>
        <v>(Enter BMP Details Here)</v>
      </c>
      <c r="D30" s="26" t="str">
        <f>VLOOKUP(B30,'BMP List'!$A:$E,5,FALSE)</f>
        <v>Unit</v>
      </c>
      <c r="E30" s="30" t="str">
        <f>IF(B30="Stormwater Reuse (Square Feet)",'Stormwater Reuse Calculations'!C16,IF(ISERROR((VLOOKUP($B30,'BMP List'!A:B,2,FALSE)*$C30)),"",(VLOOKUP($B30,'BMP List'!A:B,2,FALSE)*$C30)))</f>
        <v/>
      </c>
    </row>
    <row r="31" spans="1:5" x14ac:dyDescent="0.25">
      <c r="A31" s="6"/>
      <c r="B31" s="7" t="s">
        <v>0</v>
      </c>
      <c r="C31" s="70" t="str">
        <f>IF(B31="Stormwater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Calculations'!$E$30))),(VLOOKUP(B31,'BMP List'!$A:$F,6,FALSE)))</f>
        <v>(Enter BMP Details Here)</v>
      </c>
      <c r="D31" s="26" t="str">
        <f>VLOOKUP(B31,'BMP List'!$A:$E,5,FALSE)</f>
        <v>Unit</v>
      </c>
      <c r="E31" s="30" t="str">
        <f>IF(B31="Stormwater Reuse (Square Feet)",'Stormwater Reuse Calculations'!C17,IF(ISERROR((VLOOKUP($B31,'BMP List'!A:B,2,FALSE)*$C31)),"",(VLOOKUP($B31,'BMP List'!A:B,2,FALSE)*$C31)))</f>
        <v/>
      </c>
    </row>
    <row r="32" spans="1:5" x14ac:dyDescent="0.25">
      <c r="A32" s="6"/>
      <c r="B32" s="7" t="s">
        <v>0</v>
      </c>
      <c r="C32" s="70" t="str">
        <f>IF(B32="Stormwater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Calculations'!$E$30))),(VLOOKUP(B32,'BMP List'!$A:$F,6,FALSE)))</f>
        <v>(Enter BMP Details Here)</v>
      </c>
      <c r="D32" s="26" t="str">
        <f>VLOOKUP(B32,'BMP List'!$A:$E,5,FALSE)</f>
        <v>Unit</v>
      </c>
      <c r="E32" s="30" t="str">
        <f>IF(B32="Stormwater Reuse (Square Feet)",'Stormwater Reuse Calculations'!C18,IF(ISERROR((VLOOKUP($B32,'BMP List'!A:B,2,FALSE)*$C32)),"",(VLOOKUP($B32,'BMP List'!A:B,2,FALSE)*$C32)))</f>
        <v/>
      </c>
    </row>
    <row r="33" spans="1:5" x14ac:dyDescent="0.25">
      <c r="A33" s="6"/>
      <c r="B33" s="7" t="s">
        <v>0</v>
      </c>
      <c r="C33" s="70" t="str">
        <f>IF(B33="Stormwater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Calculations'!$E$30))),(VLOOKUP(B33,'BMP List'!$A:$F,6,FALSE)))</f>
        <v>(Enter BMP Details Here)</v>
      </c>
      <c r="D33" s="26" t="str">
        <f>VLOOKUP(B33,'BMP List'!$A:$E,5,FALSE)</f>
        <v>Unit</v>
      </c>
      <c r="E33" s="30" t="str">
        <f>IF(B33="Stormwater Reuse (Square Feet)",'Stormwater Reuse Calculations'!C19,IF(ISERROR((VLOOKUP($B33,'BMP List'!A:B,2,FALSE)*$C33)),"",(VLOOKUP($B33,'BMP List'!A:B,2,FALSE)*$C33)))</f>
        <v/>
      </c>
    </row>
    <row r="34" spans="1:5" x14ac:dyDescent="0.25">
      <c r="A34" s="6"/>
      <c r="B34" s="7" t="s">
        <v>0</v>
      </c>
      <c r="C34" s="70" t="str">
        <f>IF(B34="Stormwater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Calculations'!$E$30))),(VLOOKUP(B34,'BMP List'!$A:$F,6,FALSE)))</f>
        <v>(Enter BMP Details Here)</v>
      </c>
      <c r="D34" s="26" t="str">
        <f>VLOOKUP(B34,'BMP List'!$A:$E,5,FALSE)</f>
        <v>Unit</v>
      </c>
      <c r="E34" s="30" t="str">
        <f>IF(B34="Stormwater Reuse (Square Feet)",'Stormwater Reuse Calculations'!C20,IF(ISERROR((VLOOKUP($B34,'BMP List'!A:B,2,FALSE)*$C34)),"",(VLOOKUP($B34,'BMP List'!A:B,2,FALSE)*$C34)))</f>
        <v/>
      </c>
    </row>
    <row r="35" spans="1:5" x14ac:dyDescent="0.25">
      <c r="A35" s="6"/>
      <c r="B35" s="7" t="s">
        <v>0</v>
      </c>
      <c r="C35" s="70" t="str">
        <f>IF(B35="Stormwater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Calculations'!$E$30))),(VLOOKUP(B35,'BMP List'!$A:$F,6,FALSE)))</f>
        <v>(Enter BMP Details Here)</v>
      </c>
      <c r="D35" s="26" t="str">
        <f>VLOOKUP(B35,'BMP List'!$A:$E,5,FALSE)</f>
        <v>Unit</v>
      </c>
      <c r="E35" s="30" t="str">
        <f>IF(B35="Stormwater Reuse (Square Feet)",'Stormwater Reuse Calculations'!C21,IF(ISERROR((VLOOKUP($B35,'BMP List'!A:B,2,FALSE)*$C35)),"",(VLOOKUP($B35,'BMP List'!A:B,2,FALSE)*$C35)))</f>
        <v/>
      </c>
    </row>
    <row r="36" spans="1:5" ht="15" customHeight="1" x14ac:dyDescent="0.25">
      <c r="A36" s="6"/>
      <c r="B36" s="7" t="s">
        <v>0</v>
      </c>
      <c r="C36" s="70" t="str">
        <f>IF(B36="Stormwater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Calculations'!$E$30))),(VLOOKUP(B36,'BMP List'!$A:$F,6,FALSE)))</f>
        <v>(Enter BMP Details Here)</v>
      </c>
      <c r="D36" s="26" t="str">
        <f>VLOOKUP(B36,'BMP List'!$A:$E,5,FALSE)</f>
        <v>Unit</v>
      </c>
      <c r="E36" s="30" t="str">
        <f>IF(B36="Stormwater Reuse (Square Feet)",'Stormwater Reuse Calculations'!C22,IF(ISERROR((VLOOKUP($B36,'BMP List'!A:B,2,FALSE)*$C36)),"",(VLOOKUP($B36,'BMP List'!A:B,2,FALSE)*$C36)))</f>
        <v/>
      </c>
    </row>
    <row r="37" spans="1:5" ht="15.75" thickBot="1" x14ac:dyDescent="0.3">
      <c r="A37" s="8"/>
      <c r="B37" s="91" t="s">
        <v>0</v>
      </c>
      <c r="C37" s="71" t="str">
        <f>IF(B37="Stormwater Reuse (Square Feet)",IF('Stormwater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Calculations'!$E$30))),(VLOOKUP(B37,'BMP List'!$A:$F,6,FALSE)))</f>
        <v>(Enter BMP Details Here)</v>
      </c>
      <c r="D37" s="31" t="str">
        <f>VLOOKUP(B37,'BMP List'!$A:$E,5,FALSE)</f>
        <v>Unit</v>
      </c>
      <c r="E37" s="32" t="str">
        <f>IF(B37="Stormwater Reuse (Square Feet)",'Stormwater Reuse Calculations'!C23,IF(ISERROR((VLOOKUP($B37,'BMP List'!A:B,2,FALSE)*$C37)),"",(VLOOKUP($B37,'BMP List'!A:B,2,FALSE)*$C37)))</f>
        <v/>
      </c>
    </row>
    <row r="38" spans="1:5" ht="15.75" thickBot="1" x14ac:dyDescent="0.3">
      <c r="B38" s="9"/>
      <c r="C38" s="9"/>
      <c r="D38" s="28" t="s">
        <v>17</v>
      </c>
      <c r="E38" s="23">
        <f>SUM(E28:E37)</f>
        <v>0</v>
      </c>
    </row>
    <row r="39" spans="1:5" ht="16.5" customHeight="1" thickTop="1" thickBot="1" x14ac:dyDescent="0.3">
      <c r="D39" s="10" t="s">
        <v>18</v>
      </c>
      <c r="E39" s="17" t="e">
        <f>IF((E38/($C$24))&gt;1,"&gt;100%",E38/($C$24))</f>
        <v>#DIV/0!</v>
      </c>
    </row>
    <row r="40" spans="1:5" ht="16.5" thickTop="1" thickBot="1" x14ac:dyDescent="0.3">
      <c r="D40" s="11" t="s">
        <v>24</v>
      </c>
      <c r="E40" s="12" t="e">
        <f>IF(E39&gt;=100%,"YES","NO")</f>
        <v>#DIV/0!</v>
      </c>
    </row>
    <row r="41" spans="1:5" ht="15.75" thickTop="1" x14ac:dyDescent="0.25"/>
    <row r="49" spans="2:2" ht="23.25" x14ac:dyDescent="0.25">
      <c r="B49" s="39" t="s">
        <v>19</v>
      </c>
    </row>
    <row r="51" spans="2:2" ht="23.25" x14ac:dyDescent="0.25">
      <c r="B51" s="13" t="s">
        <v>20</v>
      </c>
    </row>
    <row r="52" spans="2:2" ht="15.75" thickBot="1" x14ac:dyDescent="0.3"/>
    <row r="53" spans="2:2" ht="24.75" thickTop="1" thickBot="1" x14ac:dyDescent="0.3">
      <c r="B53" s="14" t="s">
        <v>21</v>
      </c>
    </row>
    <row r="54" spans="2:2" ht="15.75" thickTop="1" x14ac:dyDescent="0.25"/>
    <row r="65" spans="4:5" ht="16.5" hidden="1" thickTop="1" thickBot="1" x14ac:dyDescent="0.3">
      <c r="D65" s="11" t="s">
        <v>51</v>
      </c>
      <c r="E65" s="72" t="e">
        <f>E38-C24</f>
        <v>#DIV/0!</v>
      </c>
    </row>
  </sheetData>
  <conditionalFormatting sqref="E40">
    <cfRule type="containsText" dxfId="78" priority="5" operator="containsText" text="n">
      <formula>NOT(ISERROR(SEARCH("n",E40)))</formula>
    </cfRule>
    <cfRule type="containsText" dxfId="77" priority="6" operator="containsText" text="y">
      <formula>NOT(ISERROR(SEARCH("y",E40)))</formula>
    </cfRule>
    <cfRule type="cellIs" dxfId="76" priority="7" operator="equal">
      <formula>"""Yes"""</formula>
    </cfRule>
  </conditionalFormatting>
  <conditionalFormatting sqref="E65">
    <cfRule type="cellIs" dxfId="75" priority="1" operator="lessThan">
      <formula>0</formula>
    </cfRule>
    <cfRule type="cellIs" dxfId="74" priority="2" operator="greaterThan">
      <formula>0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1C1E52-AB10-4C7A-810F-BAE069770C75}">
          <x14:formula1>
            <xm:f>'BMP List'!$A$1:$A$22</xm:f>
          </x14:formula1>
          <xm:sqref>B28:B37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A1:H58"/>
  <sheetViews>
    <sheetView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5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5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20" priority="6" operator="lessThan">
      <formula>0</formula>
    </cfRule>
    <cfRule type="cellIs" dxfId="19" priority="7" operator="greaterThan">
      <formula>0</formula>
    </cfRule>
  </conditionalFormatting>
  <conditionalFormatting sqref="F36 H36">
    <cfRule type="cellIs" dxfId="18" priority="8" operator="lessThan">
      <formula>0</formula>
    </cfRule>
    <cfRule type="cellIs" dxfId="17" priority="9" operator="greaterThan">
      <formula>0</formula>
    </cfRule>
  </conditionalFormatting>
  <conditionalFormatting sqref="F35 H35">
    <cfRule type="containsText" dxfId="16" priority="4" operator="containsText" text="yes">
      <formula>NOT(ISERROR(SEARCH("yes",F35)))</formula>
    </cfRule>
    <cfRule type="containsText" dxfId="15" priority="5" operator="containsText" text="No">
      <formula>NOT(ISERROR(SEARCH("No",F35)))</formula>
    </cfRule>
  </conditionalFormatting>
  <conditionalFormatting sqref="C19">
    <cfRule type="containsText" dxfId="14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A67306-E79B-485F-8756-85F1DE9DF3E0}">
          <x14:formula1>
            <xm:f>'BMP List'!$A$1:$A$22</xm:f>
          </x14:formula1>
          <xm:sqref>B23:B32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A1:H58"/>
  <sheetViews>
    <sheetView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5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5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13" priority="6" operator="lessThan">
      <formula>0</formula>
    </cfRule>
    <cfRule type="cellIs" dxfId="12" priority="7" operator="greaterThan">
      <formula>0</formula>
    </cfRule>
  </conditionalFormatting>
  <conditionalFormatting sqref="F36 H36">
    <cfRule type="cellIs" dxfId="11" priority="8" operator="lessThan">
      <formula>0</formula>
    </cfRule>
    <cfRule type="cellIs" dxfId="10" priority="9" operator="greaterThan">
      <formula>0</formula>
    </cfRule>
  </conditionalFormatting>
  <conditionalFormatting sqref="F35 H35">
    <cfRule type="containsText" dxfId="9" priority="4" operator="containsText" text="yes">
      <formula>NOT(ISERROR(SEARCH("yes",F35)))</formula>
    </cfRule>
    <cfRule type="containsText" dxfId="8" priority="5" operator="containsText" text="No">
      <formula>NOT(ISERROR(SEARCH("No",F35)))</formula>
    </cfRule>
  </conditionalFormatting>
  <conditionalFormatting sqref="C19">
    <cfRule type="containsText" dxfId="7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5E102E-4F57-438F-BB7B-23884619A3A7}">
          <x14:formula1>
            <xm:f>'BMP List'!$A$1:$A$22</xm:f>
          </x14:formula1>
          <xm:sqref>B23:B32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A1:H58"/>
  <sheetViews>
    <sheetView tabSelected="1"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5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5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F36 H36">
    <cfRule type="cellIs" dxfId="4" priority="8" operator="lessThan">
      <formula>0</formula>
    </cfRule>
    <cfRule type="cellIs" dxfId="3" priority="9" operator="greaterThan">
      <formula>0</formula>
    </cfRule>
  </conditionalFormatting>
  <conditionalFormatting sqref="F35 H35">
    <cfRule type="containsText" dxfId="2" priority="4" operator="containsText" text="yes">
      <formula>NOT(ISERROR(SEARCH("yes",F35)))</formula>
    </cfRule>
    <cfRule type="containsText" dxfId="1" priority="5" operator="containsText" text="No">
      <formula>NOT(ISERROR(SEARCH("No",F35)))</formula>
    </cfRule>
  </conditionalFormatting>
  <conditionalFormatting sqref="C19">
    <cfRule type="containsText" dxfId="0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E22EDA-8A5F-4681-A515-D0F4B215E393}">
          <x14:formula1>
            <xm:f>'BMP List'!$A$1:$A$22</xm:f>
          </x14:formula1>
          <xm:sqref>B23:B32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G23"/>
  <sheetViews>
    <sheetView workbookViewId="0">
      <selection activeCell="A23" sqref="A23:XFD24"/>
    </sheetView>
  </sheetViews>
  <sheetFormatPr defaultRowHeight="15" x14ac:dyDescent="0.25"/>
  <cols>
    <col min="1" max="1" width="61.42578125" bestFit="1" customWidth="1"/>
    <col min="2" max="7" width="25.71093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22</v>
      </c>
    </row>
    <row r="2" spans="1:7" x14ac:dyDescent="0.25">
      <c r="A2" t="s">
        <v>7</v>
      </c>
      <c r="B2" s="1">
        <f>0.5*(1/12)</f>
        <v>4.1666666666666664E-2</v>
      </c>
      <c r="C2" s="82">
        <v>0</v>
      </c>
      <c r="D2" s="82">
        <v>0</v>
      </c>
      <c r="E2" t="s">
        <v>8</v>
      </c>
      <c r="F2" t="s">
        <v>9</v>
      </c>
      <c r="G2" t="s">
        <v>10</v>
      </c>
    </row>
    <row r="3" spans="1:7" x14ac:dyDescent="0.25">
      <c r="A3" t="s">
        <v>49</v>
      </c>
      <c r="B3" s="1">
        <v>0</v>
      </c>
      <c r="C3" s="82">
        <v>0.75</v>
      </c>
      <c r="D3" s="82">
        <v>0.9</v>
      </c>
      <c r="E3" t="s">
        <v>5</v>
      </c>
      <c r="F3" t="s">
        <v>6</v>
      </c>
    </row>
    <row r="4" spans="1:7" x14ac:dyDescent="0.25">
      <c r="A4" t="s">
        <v>48</v>
      </c>
      <c r="B4" s="1">
        <v>0.4</v>
      </c>
      <c r="C4" s="82">
        <v>0.75</v>
      </c>
      <c r="D4" s="82">
        <v>0.9</v>
      </c>
      <c r="E4" t="s">
        <v>5</v>
      </c>
      <c r="F4" t="s">
        <v>6</v>
      </c>
    </row>
    <row r="5" spans="1:7" x14ac:dyDescent="0.25">
      <c r="A5" t="s">
        <v>52</v>
      </c>
      <c r="B5" s="1">
        <v>0.4</v>
      </c>
      <c r="C5" s="82">
        <v>0.75</v>
      </c>
      <c r="D5" s="82">
        <v>0.9</v>
      </c>
      <c r="E5" t="s">
        <v>5</v>
      </c>
      <c r="F5" t="s">
        <v>6</v>
      </c>
    </row>
    <row r="6" spans="1:7" x14ac:dyDescent="0.25">
      <c r="A6" t="s">
        <v>53</v>
      </c>
      <c r="B6" s="1">
        <v>0</v>
      </c>
      <c r="C6" s="82">
        <v>0.45</v>
      </c>
      <c r="D6" s="82">
        <v>0.75</v>
      </c>
      <c r="E6" t="s">
        <v>8</v>
      </c>
      <c r="F6" t="s">
        <v>9</v>
      </c>
    </row>
    <row r="7" spans="1:7" x14ac:dyDescent="0.25">
      <c r="A7" t="s">
        <v>54</v>
      </c>
      <c r="B7" s="1">
        <v>0</v>
      </c>
      <c r="C7" s="82">
        <v>0</v>
      </c>
      <c r="D7" s="82">
        <v>0.5</v>
      </c>
      <c r="E7" t="s">
        <v>8</v>
      </c>
      <c r="F7" t="s">
        <v>9</v>
      </c>
    </row>
    <row r="8" spans="1:7" x14ac:dyDescent="0.25">
      <c r="A8" t="s">
        <v>81</v>
      </c>
      <c r="B8" s="1">
        <v>0.8</v>
      </c>
      <c r="C8" s="82">
        <v>1</v>
      </c>
      <c r="D8" s="82">
        <v>1</v>
      </c>
      <c r="E8" t="s">
        <v>5</v>
      </c>
      <c r="F8" t="s">
        <v>6</v>
      </c>
    </row>
    <row r="9" spans="1:7" x14ac:dyDescent="0.25">
      <c r="A9" t="s">
        <v>57</v>
      </c>
      <c r="B9" s="1">
        <v>0</v>
      </c>
      <c r="C9" s="82">
        <v>0.9</v>
      </c>
      <c r="D9" s="82">
        <v>0.9</v>
      </c>
      <c r="E9" t="s">
        <v>5</v>
      </c>
      <c r="F9" t="s">
        <v>6</v>
      </c>
    </row>
    <row r="10" spans="1:7" x14ac:dyDescent="0.25">
      <c r="A10" t="s">
        <v>58</v>
      </c>
      <c r="B10" s="1">
        <v>0.4</v>
      </c>
      <c r="C10" s="82">
        <v>0.9</v>
      </c>
      <c r="D10" s="82">
        <v>0.9</v>
      </c>
      <c r="E10" t="s">
        <v>5</v>
      </c>
      <c r="F10" t="s">
        <v>6</v>
      </c>
    </row>
    <row r="11" spans="1:7" x14ac:dyDescent="0.25">
      <c r="A11" t="s">
        <v>56</v>
      </c>
      <c r="B11" s="1">
        <v>0.5</v>
      </c>
      <c r="C11" s="82">
        <v>0.75</v>
      </c>
      <c r="D11" s="82">
        <v>0.9</v>
      </c>
      <c r="E11" t="s">
        <v>5</v>
      </c>
      <c r="F11" t="s">
        <v>6</v>
      </c>
    </row>
    <row r="12" spans="1:7" x14ac:dyDescent="0.25">
      <c r="A12" t="s">
        <v>71</v>
      </c>
      <c r="B12" s="1">
        <v>0</v>
      </c>
      <c r="C12" s="82">
        <v>0.4</v>
      </c>
      <c r="D12" s="82">
        <v>0.65</v>
      </c>
      <c r="E12" t="s">
        <v>5</v>
      </c>
      <c r="F12" t="s">
        <v>6</v>
      </c>
    </row>
    <row r="13" spans="1:7" x14ac:dyDescent="0.25">
      <c r="A13" t="s">
        <v>72</v>
      </c>
      <c r="B13" s="1">
        <v>0</v>
      </c>
      <c r="C13" s="82">
        <v>0.75</v>
      </c>
      <c r="D13" s="82">
        <v>0.8</v>
      </c>
      <c r="E13" t="s">
        <v>5</v>
      </c>
      <c r="F13" t="s">
        <v>6</v>
      </c>
    </row>
    <row r="14" spans="1:7" x14ac:dyDescent="0.25">
      <c r="A14" t="s">
        <v>73</v>
      </c>
      <c r="B14" s="1">
        <v>0</v>
      </c>
      <c r="C14" s="82">
        <v>0.6</v>
      </c>
      <c r="D14" s="82">
        <v>0.8</v>
      </c>
      <c r="E14" t="s">
        <v>5</v>
      </c>
      <c r="F14" t="s">
        <v>6</v>
      </c>
    </row>
    <row r="15" spans="1:7" x14ac:dyDescent="0.25">
      <c r="A15" t="s">
        <v>74</v>
      </c>
      <c r="B15" s="1">
        <v>0</v>
      </c>
      <c r="C15" s="82">
        <v>0.9</v>
      </c>
      <c r="D15" s="82">
        <v>0.9</v>
      </c>
      <c r="E15" t="s">
        <v>5</v>
      </c>
      <c r="F15" t="s">
        <v>6</v>
      </c>
    </row>
    <row r="16" spans="1:7" x14ac:dyDescent="0.25">
      <c r="A16" t="s">
        <v>85</v>
      </c>
      <c r="B16" s="1">
        <f>0.25*(1/12)</f>
        <v>2.0833333333333332E-2</v>
      </c>
      <c r="C16" s="82">
        <v>0</v>
      </c>
      <c r="D16" s="82">
        <v>0</v>
      </c>
      <c r="E16" t="s">
        <v>8</v>
      </c>
      <c r="F16" t="s">
        <v>9</v>
      </c>
    </row>
    <row r="17" spans="1:6" x14ac:dyDescent="0.25">
      <c r="A17" t="s">
        <v>86</v>
      </c>
      <c r="B17" s="1">
        <f>0.5*(1/12)</f>
        <v>4.1666666666666664E-2</v>
      </c>
      <c r="C17" s="82">
        <v>0</v>
      </c>
      <c r="D17" s="82">
        <v>0</v>
      </c>
      <c r="E17" t="s">
        <v>8</v>
      </c>
      <c r="F17" t="s">
        <v>9</v>
      </c>
    </row>
    <row r="18" spans="1:6" x14ac:dyDescent="0.25">
      <c r="A18" t="s">
        <v>87</v>
      </c>
      <c r="B18" s="1">
        <f>0.5*(1/12)</f>
        <v>4.1666666666666664E-2</v>
      </c>
      <c r="C18" s="82">
        <v>0</v>
      </c>
      <c r="D18" s="82">
        <v>0</v>
      </c>
      <c r="E18" t="s">
        <v>8</v>
      </c>
      <c r="F18" t="s">
        <v>9</v>
      </c>
    </row>
    <row r="19" spans="1:6" x14ac:dyDescent="0.25">
      <c r="A19" t="s">
        <v>88</v>
      </c>
      <c r="B19" s="1">
        <f>(1/12)</f>
        <v>8.3333333333333329E-2</v>
      </c>
      <c r="C19" s="82">
        <v>0</v>
      </c>
      <c r="D19" s="82">
        <v>0</v>
      </c>
      <c r="E19" t="s">
        <v>8</v>
      </c>
      <c r="F19" t="s">
        <v>9</v>
      </c>
    </row>
    <row r="20" spans="1:6" x14ac:dyDescent="0.25">
      <c r="A20" t="s">
        <v>83</v>
      </c>
      <c r="B20" s="1">
        <v>0.5</v>
      </c>
      <c r="C20" s="82">
        <v>0</v>
      </c>
      <c r="D20" s="82">
        <v>0</v>
      </c>
      <c r="E20" t="s">
        <v>5</v>
      </c>
      <c r="F20" t="s">
        <v>6</v>
      </c>
    </row>
    <row r="21" spans="1:6" x14ac:dyDescent="0.25">
      <c r="A21" t="s">
        <v>55</v>
      </c>
      <c r="B21" s="1">
        <f>1*(1/12)</f>
        <v>8.3333333333333329E-2</v>
      </c>
      <c r="C21" s="82">
        <v>0</v>
      </c>
      <c r="D21" s="82">
        <v>0</v>
      </c>
      <c r="E21" t="s">
        <v>8</v>
      </c>
      <c r="F21" t="s">
        <v>9</v>
      </c>
    </row>
    <row r="22" spans="1:6" x14ac:dyDescent="0.25">
      <c r="A22" t="s">
        <v>82</v>
      </c>
      <c r="B22" s="1">
        <v>0</v>
      </c>
      <c r="C22" s="82">
        <v>0.9</v>
      </c>
      <c r="D22" s="82">
        <v>0.9</v>
      </c>
      <c r="E22" t="s">
        <v>5</v>
      </c>
      <c r="F22" t="s">
        <v>6</v>
      </c>
    </row>
    <row r="23" spans="1:6" x14ac:dyDescent="0.25">
      <c r="B23" s="1"/>
      <c r="C23" s="1"/>
      <c r="D23" s="1"/>
    </row>
  </sheetData>
  <autoFilter ref="A1:G22" xr:uid="{00000000-0009-0000-0000-00000E000000}">
    <sortState xmlns:xlrd2="http://schemas.microsoft.com/office/spreadsheetml/2017/richdata2" ref="A2:G15">
      <sortCondition ref="A1"/>
    </sortState>
  </autoFilter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F0E5-FFC9-48C1-8652-2FA948A2A61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F44"/>
  <sheetViews>
    <sheetView zoomScale="80" zoomScaleNormal="80" workbookViewId="0">
      <selection activeCell="B21" sqref="B21"/>
    </sheetView>
  </sheetViews>
  <sheetFormatPr defaultColWidth="9.140625" defaultRowHeight="15" x14ac:dyDescent="0.25"/>
  <cols>
    <col min="1" max="1" width="9.140625" style="41"/>
    <col min="2" max="2" width="40.140625" style="41" bestFit="1" customWidth="1"/>
    <col min="3" max="3" width="32.85546875" style="41" bestFit="1" customWidth="1"/>
    <col min="4" max="4" width="16.5703125" style="41" customWidth="1"/>
    <col min="5" max="5" width="22.28515625" style="41" customWidth="1"/>
    <col min="6" max="6" width="22.7109375" style="41" customWidth="1"/>
    <col min="7" max="7" width="22.28515625" style="41" customWidth="1"/>
    <col min="8" max="16384" width="9.140625" style="41"/>
  </cols>
  <sheetData>
    <row r="1" spans="2:3" ht="21.75" thickBot="1" x14ac:dyDescent="0.4">
      <c r="B1" s="40" t="s">
        <v>45</v>
      </c>
      <c r="C1" s="68"/>
    </row>
    <row r="3" spans="2:3" x14ac:dyDescent="0.25">
      <c r="B3" s="42" t="s">
        <v>27</v>
      </c>
      <c r="C3" s="21"/>
    </row>
    <row r="4" spans="2:3" s="45" customFormat="1" ht="4.5" customHeight="1" x14ac:dyDescent="0.25">
      <c r="B4" s="43"/>
      <c r="C4" s="44"/>
    </row>
    <row r="5" spans="2:3" x14ac:dyDescent="0.25">
      <c r="B5" s="42" t="s">
        <v>11</v>
      </c>
      <c r="C5" s="22">
        <f>C3*43560</f>
        <v>0</v>
      </c>
    </row>
    <row r="6" spans="2:3" ht="5.0999999999999996" customHeight="1" thickBot="1" x14ac:dyDescent="0.3">
      <c r="C6" s="46"/>
    </row>
    <row r="7" spans="2:3" ht="15.75" thickBot="1" x14ac:dyDescent="0.3">
      <c r="B7" s="47" t="s">
        <v>32</v>
      </c>
      <c r="C7" s="34"/>
    </row>
    <row r="8" spans="2:3" ht="5.0999999999999996" customHeight="1" thickBot="1" x14ac:dyDescent="0.3">
      <c r="B8" s="48"/>
      <c r="C8" s="49"/>
    </row>
    <row r="9" spans="2:3" ht="15.75" thickBot="1" x14ac:dyDescent="0.3">
      <c r="B9" s="47" t="s">
        <v>31</v>
      </c>
      <c r="C9" s="21"/>
    </row>
    <row r="10" spans="2:3" ht="4.5" customHeight="1" thickBot="1" x14ac:dyDescent="0.3"/>
    <row r="11" spans="2:3" ht="15.75" thickBot="1" x14ac:dyDescent="0.3">
      <c r="B11" s="47" t="s">
        <v>39</v>
      </c>
      <c r="C11" s="34"/>
    </row>
    <row r="12" spans="2:3" ht="4.5" customHeight="1" thickBot="1" x14ac:dyDescent="0.3">
      <c r="C12" s="50"/>
    </row>
    <row r="13" spans="2:3" ht="15.75" thickBot="1" x14ac:dyDescent="0.3">
      <c r="B13" s="47" t="s">
        <v>40</v>
      </c>
      <c r="C13" s="34"/>
    </row>
    <row r="14" spans="2:3" ht="15.75" thickBot="1" x14ac:dyDescent="0.3"/>
    <row r="15" spans="2:3" ht="21.75" thickBot="1" x14ac:dyDescent="0.3">
      <c r="B15" s="80" t="s">
        <v>67</v>
      </c>
      <c r="C15" s="81" t="b">
        <f>IF(C11&gt;0,IF(E25="Yes",C21,F29),IF(C13&gt;0,IF(E26="Yes",C21,F30)))</f>
        <v>0</v>
      </c>
    </row>
    <row r="19" spans="1:6" ht="15.75" thickBot="1" x14ac:dyDescent="0.3"/>
    <row r="20" spans="1:6" ht="30.75" thickBot="1" x14ac:dyDescent="0.3">
      <c r="A20" s="29" t="s">
        <v>47</v>
      </c>
      <c r="B20" s="29" t="s">
        <v>33</v>
      </c>
      <c r="C20" s="15" t="s">
        <v>41</v>
      </c>
      <c r="D20" s="15" t="s">
        <v>34</v>
      </c>
      <c r="E20" s="51" t="s">
        <v>35</v>
      </c>
      <c r="F20" s="52" t="s">
        <v>36</v>
      </c>
    </row>
    <row r="21" spans="1:6" s="54" customFormat="1" ht="15.75" thickBot="1" x14ac:dyDescent="0.3">
      <c r="A21" s="38"/>
      <c r="B21" s="53" t="str">
        <f>IF(($C$5*0.5/12)&gt;($C$7*($C$9/12)),"Irrigation Area","Impervious Surface")</f>
        <v>Impervious Surface</v>
      </c>
      <c r="C21" s="35">
        <f>IF((C5*1/12)&gt;(C7*(C9/12)),C7*(C9/12),C5*1/12)</f>
        <v>0</v>
      </c>
      <c r="D21" s="36" t="e">
        <f>C21/($C$9/12)</f>
        <v>#DIV/0!</v>
      </c>
      <c r="E21" s="36">
        <f>C21*4</f>
        <v>0</v>
      </c>
      <c r="F21" s="37">
        <f>C21*1</f>
        <v>0</v>
      </c>
    </row>
    <row r="22" spans="1:6" x14ac:dyDescent="0.25">
      <c r="B22" s="55"/>
      <c r="C22" s="56"/>
      <c r="D22" s="33"/>
      <c r="E22" s="33"/>
    </row>
    <row r="23" spans="1:6" x14ac:dyDescent="0.25">
      <c r="B23" s="57"/>
    </row>
    <row r="24" spans="1:6" ht="15.75" thickBot="1" x14ac:dyDescent="0.3"/>
    <row r="25" spans="1:6" ht="16.5" thickTop="1" thickBot="1" x14ac:dyDescent="0.3">
      <c r="C25" s="83" t="s">
        <v>37</v>
      </c>
      <c r="D25" s="84"/>
      <c r="E25" s="17" t="str">
        <f>IF(C11="","NA",IF(C11&gt;E21,"Yes","No"))</f>
        <v>NA</v>
      </c>
    </row>
    <row r="26" spans="1:6" ht="16.5" thickTop="1" thickBot="1" x14ac:dyDescent="0.3">
      <c r="C26" s="83" t="s">
        <v>38</v>
      </c>
      <c r="D26" s="84"/>
      <c r="E26" s="12" t="str">
        <f>IF(C13="","NA",IF(C13&gt;F21,"Yes","No"))</f>
        <v>NA</v>
      </c>
    </row>
    <row r="27" spans="1:6" ht="16.5" thickTop="1" thickBot="1" x14ac:dyDescent="0.3"/>
    <row r="28" spans="1:6" ht="15.75" thickBot="1" x14ac:dyDescent="0.3">
      <c r="C28" s="85"/>
      <c r="D28" s="86"/>
      <c r="E28" s="58" t="s">
        <v>42</v>
      </c>
      <c r="F28" s="59" t="s">
        <v>46</v>
      </c>
    </row>
    <row r="29" spans="1:6" x14ac:dyDescent="0.25">
      <c r="C29" s="87" t="s">
        <v>43</v>
      </c>
      <c r="D29" s="88"/>
      <c r="E29" s="60" t="e">
        <f>(C11/4)/($C$9/12)</f>
        <v>#DIV/0!</v>
      </c>
      <c r="F29" s="61" t="e">
        <f>E29*($C$9/12)</f>
        <v>#DIV/0!</v>
      </c>
    </row>
    <row r="30" spans="1:6" ht="15.75" thickBot="1" x14ac:dyDescent="0.3">
      <c r="C30" s="89" t="s">
        <v>44</v>
      </c>
      <c r="D30" s="90"/>
      <c r="E30" s="62" t="e">
        <f>($C$13/2)/($C$9/12)</f>
        <v>#DIV/0!</v>
      </c>
      <c r="F30" s="63" t="e">
        <f>E30*($C$9/12)</f>
        <v>#DIV/0!</v>
      </c>
    </row>
    <row r="31" spans="1:6" x14ac:dyDescent="0.25">
      <c r="B31" s="64"/>
    </row>
    <row r="32" spans="1:6" x14ac:dyDescent="0.25">
      <c r="B32" s="65"/>
    </row>
    <row r="33" spans="2:2" x14ac:dyDescent="0.25">
      <c r="B33" s="65"/>
    </row>
    <row r="34" spans="2:2" x14ac:dyDescent="0.25">
      <c r="B34" s="65"/>
    </row>
    <row r="35" spans="2:2" x14ac:dyDescent="0.25">
      <c r="B35" s="65"/>
    </row>
    <row r="36" spans="2:2" x14ac:dyDescent="0.25">
      <c r="B36" s="65"/>
    </row>
    <row r="37" spans="2:2" x14ac:dyDescent="0.25">
      <c r="B37" s="65"/>
    </row>
    <row r="39" spans="2:2" ht="23.25" x14ac:dyDescent="0.25">
      <c r="B39" s="39" t="s">
        <v>19</v>
      </c>
    </row>
    <row r="41" spans="2:2" ht="23.25" x14ac:dyDescent="0.25">
      <c r="B41" s="66" t="s">
        <v>20</v>
      </c>
    </row>
    <row r="42" spans="2:2" ht="15.75" thickBot="1" x14ac:dyDescent="0.3"/>
    <row r="43" spans="2:2" ht="24.75" thickTop="1" thickBot="1" x14ac:dyDescent="0.3">
      <c r="B43" s="67" t="s">
        <v>21</v>
      </c>
    </row>
    <row r="44" spans="2:2" ht="15.75" thickTop="1" x14ac:dyDescent="0.25"/>
  </sheetData>
  <mergeCells count="5">
    <mergeCell ref="C25:D25"/>
    <mergeCell ref="C26:D26"/>
    <mergeCell ref="C28:D28"/>
    <mergeCell ref="C29:D29"/>
    <mergeCell ref="C30:D30"/>
  </mergeCells>
  <conditionalFormatting sqref="E25:E26">
    <cfRule type="containsText" dxfId="73" priority="2" operator="containsText" text="NA">
      <formula>NOT(ISERROR(SEARCH("NA",E25)))</formula>
    </cfRule>
    <cfRule type="containsText" dxfId="72" priority="3" operator="containsText" text="Yes">
      <formula>NOT(ISERROR(SEARCH("Yes",E25)))</formula>
    </cfRule>
    <cfRule type="containsText" dxfId="71" priority="4" operator="containsText" text="No">
      <formula>NOT(ISERROR(SEARCH("No",E25)))</formula>
    </cfRule>
  </conditionalFormatting>
  <conditionalFormatting sqref="E29:F30">
    <cfRule type="cellIs" dxfId="70" priority="1" operator="greaterThan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'BMP List'!#REF!</xm:f>
          </x14:formula1>
          <xm:sqref>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H58"/>
  <sheetViews>
    <sheetView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1500000000000004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149999999999999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69" priority="4" operator="lessThan">
      <formula>0</formula>
    </cfRule>
    <cfRule type="cellIs" dxfId="68" priority="5" operator="greaterThan">
      <formula>0</formula>
    </cfRule>
  </conditionalFormatting>
  <conditionalFormatting sqref="F36 H36">
    <cfRule type="cellIs" dxfId="67" priority="6" operator="lessThan">
      <formula>0</formula>
    </cfRule>
    <cfRule type="cellIs" dxfId="66" priority="7" operator="greaterThan">
      <formula>0</formula>
    </cfRule>
  </conditionalFormatting>
  <conditionalFormatting sqref="F35 H35">
    <cfRule type="containsText" dxfId="65" priority="2" operator="containsText" text="yes">
      <formula>NOT(ISERROR(SEARCH("yes",F35)))</formula>
    </cfRule>
    <cfRule type="containsText" dxfId="64" priority="3" operator="containsText" text="No">
      <formula>NOT(ISERROR(SEARCH("No",F35)))</formula>
    </cfRule>
  </conditionalFormatting>
  <conditionalFormatting sqref="C19">
    <cfRule type="containsText" dxfId="63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D2C1E9-8F96-407A-9F98-BC2F6A271CA3}">
          <x14:formula1>
            <xm:f>'BMP List'!$A$1:$A$22</xm:f>
          </x14:formula1>
          <xm:sqref>B23:B32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H58"/>
  <sheetViews>
    <sheetView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5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5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62" priority="5" operator="lessThan">
      <formula>0</formula>
    </cfRule>
    <cfRule type="cellIs" dxfId="61" priority="6" operator="greaterThan">
      <formula>0</formula>
    </cfRule>
  </conditionalFormatting>
  <conditionalFormatting sqref="F36 H36">
    <cfRule type="cellIs" dxfId="60" priority="7" operator="lessThan">
      <formula>0</formula>
    </cfRule>
    <cfRule type="cellIs" dxfId="59" priority="8" operator="greaterThan">
      <formula>0</formula>
    </cfRule>
  </conditionalFormatting>
  <conditionalFormatting sqref="F35 H35">
    <cfRule type="containsText" dxfId="58" priority="3" operator="containsText" text="yes">
      <formula>NOT(ISERROR(SEARCH("yes",F35)))</formula>
    </cfRule>
    <cfRule type="containsText" dxfId="57" priority="4" operator="containsText" text="No">
      <formula>NOT(ISERROR(SEARCH("No",F35)))</formula>
    </cfRule>
  </conditionalFormatting>
  <conditionalFormatting sqref="C19">
    <cfRule type="containsText" dxfId="56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C5E0C9-0EC1-4935-A57C-5BB8FEA6AEF0}">
          <x14:formula1>
            <xm:f>'BMP List'!$A$1:$A$22</xm:f>
          </x14:formula1>
          <xm:sqref>B23:B32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H58"/>
  <sheetViews>
    <sheetView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5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5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0" spans="1:8" x14ac:dyDescent="0.25">
      <c r="C20" s="41" t="s">
        <v>84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55" priority="6" operator="lessThan">
      <formula>0</formula>
    </cfRule>
    <cfRule type="cellIs" dxfId="54" priority="7" operator="greaterThan">
      <formula>0</formula>
    </cfRule>
  </conditionalFormatting>
  <conditionalFormatting sqref="F36 H36">
    <cfRule type="cellIs" dxfId="53" priority="8" operator="lessThan">
      <formula>0</formula>
    </cfRule>
    <cfRule type="cellIs" dxfId="52" priority="9" operator="greaterThan">
      <formula>0</formula>
    </cfRule>
  </conditionalFormatting>
  <conditionalFormatting sqref="F35 H35">
    <cfRule type="containsText" dxfId="51" priority="4" operator="containsText" text="yes">
      <formula>NOT(ISERROR(SEARCH("yes",F35)))</formula>
    </cfRule>
    <cfRule type="containsText" dxfId="50" priority="5" operator="containsText" text="No">
      <formula>NOT(ISERROR(SEARCH("No",F35)))</formula>
    </cfRule>
  </conditionalFormatting>
  <conditionalFormatting sqref="C19">
    <cfRule type="containsText" dxfId="49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AE70CF-CE61-4C05-AF97-EB0F039C94E6}">
          <x14:formula1>
            <xm:f>'BMP List'!$A$1:$A$22</xm:f>
          </x14:formula1>
          <xm:sqref>B23:B32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H58"/>
  <sheetViews>
    <sheetView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5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5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48" priority="6" operator="lessThan">
      <formula>0</formula>
    </cfRule>
    <cfRule type="cellIs" dxfId="47" priority="7" operator="greaterThan">
      <formula>0</formula>
    </cfRule>
  </conditionalFormatting>
  <conditionalFormatting sqref="F36 H36">
    <cfRule type="cellIs" dxfId="46" priority="8" operator="lessThan">
      <formula>0</formula>
    </cfRule>
    <cfRule type="cellIs" dxfId="45" priority="9" operator="greaterThan">
      <formula>0</formula>
    </cfRule>
  </conditionalFormatting>
  <conditionalFormatting sqref="F35 H35">
    <cfRule type="containsText" dxfId="44" priority="4" operator="containsText" text="yes">
      <formula>NOT(ISERROR(SEARCH("yes",F35)))</formula>
    </cfRule>
    <cfRule type="containsText" dxfId="43" priority="5" operator="containsText" text="No">
      <formula>NOT(ISERROR(SEARCH("No",F35)))</formula>
    </cfRule>
  </conditionalFormatting>
  <conditionalFormatting sqref="C19">
    <cfRule type="containsText" dxfId="42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EDB4D5-CE7E-4971-830C-32D5AF7D6B53}">
          <x14:formula1>
            <xm:f>'BMP List'!$A$1:$A$22</xm:f>
          </x14:formula1>
          <xm:sqref>B23:B32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H58"/>
  <sheetViews>
    <sheetView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5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5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41" priority="6" operator="lessThan">
      <formula>0</formula>
    </cfRule>
    <cfRule type="cellIs" dxfId="40" priority="7" operator="greaterThan">
      <formula>0</formula>
    </cfRule>
  </conditionalFormatting>
  <conditionalFormatting sqref="F36 H36">
    <cfRule type="cellIs" dxfId="39" priority="8" operator="lessThan">
      <formula>0</formula>
    </cfRule>
    <cfRule type="cellIs" dxfId="38" priority="9" operator="greaterThan">
      <formula>0</formula>
    </cfRule>
  </conditionalFormatting>
  <conditionalFormatting sqref="F35 H35">
    <cfRule type="containsText" dxfId="37" priority="4" operator="containsText" text="yes">
      <formula>NOT(ISERROR(SEARCH("yes",F35)))</formula>
    </cfRule>
    <cfRule type="containsText" dxfId="36" priority="5" operator="containsText" text="No">
      <formula>NOT(ISERROR(SEARCH("No",F35)))</formula>
    </cfRule>
  </conditionalFormatting>
  <conditionalFormatting sqref="C19">
    <cfRule type="containsText" dxfId="35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C46984-BB56-4845-918C-1F59747A60AB}">
          <x14:formula1>
            <xm:f>'BMP List'!$A$1:$A$22</xm:f>
          </x14:formula1>
          <xm:sqref>B23:B32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A1:H58"/>
  <sheetViews>
    <sheetView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5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5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34" priority="6" operator="lessThan">
      <formula>0</formula>
    </cfRule>
    <cfRule type="cellIs" dxfId="33" priority="7" operator="greaterThan">
      <formula>0</formula>
    </cfRule>
  </conditionalFormatting>
  <conditionalFormatting sqref="F36 H36">
    <cfRule type="cellIs" dxfId="32" priority="8" operator="lessThan">
      <formula>0</formula>
    </cfRule>
    <cfRule type="cellIs" dxfId="31" priority="9" operator="greaterThan">
      <formula>0</formula>
    </cfRule>
  </conditionalFormatting>
  <conditionalFormatting sqref="F35 H35">
    <cfRule type="containsText" dxfId="30" priority="4" operator="containsText" text="yes">
      <formula>NOT(ISERROR(SEARCH("yes",F35)))</formula>
    </cfRule>
    <cfRule type="containsText" dxfId="29" priority="5" operator="containsText" text="No">
      <formula>NOT(ISERROR(SEARCH("No",F35)))</formula>
    </cfRule>
  </conditionalFormatting>
  <conditionalFormatting sqref="C19">
    <cfRule type="containsText" dxfId="28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05E5BA-89B2-48E9-9808-33F128B46E3D}">
          <x14:formula1>
            <xm:f>'BMP List'!$A$1:$A$22</xm:f>
          </x14:formula1>
          <xm:sqref>B23:B32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A1:H58"/>
  <sheetViews>
    <sheetView zoomScale="80" zoomScaleNormal="80" workbookViewId="0">
      <selection activeCell="B23" sqref="B23:B32"/>
    </sheetView>
  </sheetViews>
  <sheetFormatPr defaultColWidth="9.140625" defaultRowHeight="15" x14ac:dyDescent="0.25"/>
  <cols>
    <col min="1" max="1" width="11.7109375" style="41" customWidth="1"/>
    <col min="2" max="2" width="68.140625" style="41" bestFit="1" customWidth="1"/>
    <col min="3" max="3" width="32.85546875" style="41" bestFit="1" customWidth="1"/>
    <col min="4" max="4" width="39.5703125" style="41" customWidth="1"/>
    <col min="5" max="5" width="13.85546875" style="41" bestFit="1" customWidth="1"/>
    <col min="6" max="6" width="24.28515625" style="41" customWidth="1"/>
    <col min="7" max="7" width="15.140625" style="41" bestFit="1" customWidth="1"/>
    <col min="8" max="8" width="24.28515625" style="41" customWidth="1"/>
    <col min="9" max="16384" width="9.140625" style="41"/>
  </cols>
  <sheetData>
    <row r="1" spans="2:6" x14ac:dyDescent="0.25">
      <c r="B1" s="76" t="s">
        <v>30</v>
      </c>
      <c r="C1" s="21"/>
    </row>
    <row r="2" spans="2:6" x14ac:dyDescent="0.25">
      <c r="B2" s="57"/>
    </row>
    <row r="3" spans="2:6" ht="16.5" customHeight="1" x14ac:dyDescent="0.25">
      <c r="B3" s="76" t="s">
        <v>60</v>
      </c>
      <c r="C3" s="21">
        <v>0</v>
      </c>
    </row>
    <row r="4" spans="2:6" ht="4.5" customHeight="1" x14ac:dyDescent="0.25">
      <c r="B4" s="77"/>
      <c r="C4" s="75"/>
    </row>
    <row r="5" spans="2:6" ht="16.5" hidden="1" customHeight="1" x14ac:dyDescent="0.25">
      <c r="B5" s="76" t="s">
        <v>61</v>
      </c>
      <c r="C5" s="22">
        <f>C3*43560</f>
        <v>0</v>
      </c>
    </row>
    <row r="6" spans="2:6" ht="16.5" hidden="1" customHeight="1" x14ac:dyDescent="0.25">
      <c r="B6" s="57"/>
    </row>
    <row r="7" spans="2:6" ht="16.5" customHeight="1" x14ac:dyDescent="0.25">
      <c r="B7" s="76" t="s">
        <v>69</v>
      </c>
      <c r="C7" s="21">
        <v>0</v>
      </c>
    </row>
    <row r="8" spans="2:6" ht="4.5" customHeight="1" x14ac:dyDescent="0.25">
      <c r="B8" s="77"/>
      <c r="C8" s="75"/>
    </row>
    <row r="9" spans="2:6" ht="16.5" hidden="1" customHeight="1" x14ac:dyDescent="0.25">
      <c r="B9" s="76" t="s">
        <v>70</v>
      </c>
      <c r="C9" s="22">
        <f>C7*43560</f>
        <v>0</v>
      </c>
    </row>
    <row r="10" spans="2:6" ht="16.5" hidden="1" customHeight="1" x14ac:dyDescent="0.25">
      <c r="B10" s="57"/>
    </row>
    <row r="11" spans="2:6" ht="16.5" customHeight="1" x14ac:dyDescent="0.25">
      <c r="B11" s="76" t="s">
        <v>75</v>
      </c>
      <c r="C11" s="21">
        <v>0</v>
      </c>
    </row>
    <row r="12" spans="2:6" ht="4.5" customHeight="1" x14ac:dyDescent="0.25">
      <c r="B12" s="77"/>
      <c r="C12" s="44"/>
    </row>
    <row r="13" spans="2:6" ht="16.5" hidden="1" customHeight="1" x14ac:dyDescent="0.25">
      <c r="B13" s="76" t="s">
        <v>76</v>
      </c>
      <c r="C13" s="22">
        <f>C11*43560</f>
        <v>0</v>
      </c>
    </row>
    <row r="14" spans="2:6" ht="16.5" hidden="1" customHeight="1" x14ac:dyDescent="0.25">
      <c r="B14" s="77"/>
      <c r="C14" s="75"/>
      <c r="F14" s="69"/>
    </row>
    <row r="15" spans="2:6" ht="16.5" customHeight="1" x14ac:dyDescent="0.25">
      <c r="B15" s="76" t="s">
        <v>64</v>
      </c>
      <c r="C15" s="21">
        <v>0</v>
      </c>
      <c r="F15" s="69"/>
    </row>
    <row r="16" spans="2:6" ht="4.5" customHeight="1" thickBot="1" x14ac:dyDescent="0.3">
      <c r="B16" s="77"/>
      <c r="C16" s="75"/>
      <c r="F16" s="69"/>
    </row>
    <row r="17" spans="1:8" ht="16.5" hidden="1" customHeight="1" x14ac:dyDescent="0.25">
      <c r="B17" s="76" t="s">
        <v>65</v>
      </c>
      <c r="C17" s="22">
        <f>C15*43560</f>
        <v>0</v>
      </c>
      <c r="F17" s="69"/>
    </row>
    <row r="18" spans="1:8" ht="16.5" hidden="1" customHeight="1" thickBot="1" x14ac:dyDescent="0.3">
      <c r="B18" s="77"/>
      <c r="C18" s="75"/>
      <c r="D18" s="64"/>
      <c r="F18" s="69"/>
    </row>
    <row r="19" spans="1:8" ht="16.5" customHeight="1" thickBot="1" x14ac:dyDescent="0.3">
      <c r="B19" s="78" t="s">
        <v>13</v>
      </c>
      <c r="C19" s="5">
        <f>IF(C22="Yes",IF((C13-C9)*0.5/12&gt;(C13-C9+C17)*0.25/12,(C13-C9)*0.5/12,(C13-C9+C17)*0.25/12),IF((C13-C9)*1/12&gt;(C13-C9+C17)*0.5/12,(C13-C9)*1/12,(C13-C9+C17)*0.5/12))</f>
        <v>0</v>
      </c>
    </row>
    <row r="21" spans="1:8" ht="15.75" thickBot="1" x14ac:dyDescent="0.3"/>
    <row r="22" spans="1:8" ht="30" x14ac:dyDescent="0.25">
      <c r="A22" s="29" t="s">
        <v>47</v>
      </c>
      <c r="B22" s="29" t="s">
        <v>14</v>
      </c>
      <c r="C22" s="15" t="s">
        <v>15</v>
      </c>
      <c r="D22" s="15" t="s">
        <v>16</v>
      </c>
      <c r="E22" s="15" t="s">
        <v>28</v>
      </c>
      <c r="F22" s="15" t="s">
        <v>25</v>
      </c>
      <c r="G22" s="16" t="s">
        <v>29</v>
      </c>
      <c r="H22" s="16" t="s">
        <v>26</v>
      </c>
    </row>
    <row r="23" spans="1:8" ht="15" customHeight="1" x14ac:dyDescent="0.25">
      <c r="A23" s="6"/>
      <c r="B23" s="7" t="s">
        <v>0</v>
      </c>
      <c r="C23" s="70" t="str">
        <f>IF(B23="Stormwater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Calculations'!$E$30))),VLOOKUP(B23,'BMP List'!$A:$F,6,FALSE))</f>
        <v>(Enter BMP Details Here)</v>
      </c>
      <c r="D23" s="26" t="str">
        <f>VLOOKUP(B23,'BMP List'!$A:$E,5,FALSE)</f>
        <v>Unit</v>
      </c>
      <c r="E23" s="25" t="str">
        <f>IF(ISERROR(VLOOKUP($B23,'BMP List'!A:C,3,FALSE)),"",VLOOKUP($B23,'BMP List'!A:C,3,FALSE))</f>
        <v>TP Credit</v>
      </c>
      <c r="F23" s="24" t="str">
        <f>IF(ISERROR(C23*E23),"",IF(B23="Disconnecting Impervious Surface (Square Feet)",IF((1/24*E23*C23)&lt;($C$19*E23),1/24*E23*C23,$C$19*E23),IF(C23&gt;$C$19,$C$19*E23,C23*E23)))</f>
        <v/>
      </c>
      <c r="G23" s="27" t="str">
        <f>IF(ISERROR((VLOOKUP($B23,'BMP List'!$A:$D,4,FALSE))),"",VLOOKUP($B23,'BMP List'!$A:$D,4,FALSE))</f>
        <v>TSS Credit</v>
      </c>
      <c r="H23" s="30" t="str">
        <f>IF(ISERROR(C23*G23),"",IF(B23="Hydrodynamic Separator (Square Feet)",IF((1/24*G23*$C$19)&lt;($C$19*G23),1/24*G23*$C$19,$C$19*G23),IF(B23="Disconnecting Impervious Surface (Square Feet)",IF((1/24*G23*C23)&lt;($C$19*G23),1/24*G23*C23,$C$19*G23),IF(C23&gt;$C$19,$C$19*G23,C23*G23))))</f>
        <v/>
      </c>
    </row>
    <row r="24" spans="1:8" x14ac:dyDescent="0.25">
      <c r="A24" s="6"/>
      <c r="B24" s="7" t="s">
        <v>0</v>
      </c>
      <c r="C24" s="70" t="str">
        <f>IF(B24="Stormwater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Calculations'!$E$30))),VLOOKUP(B24,'BMP List'!$A:$F,6,FALSE))</f>
        <v>(Enter BMP Details Here)</v>
      </c>
      <c r="D24" s="26" t="str">
        <f>VLOOKUP(B24,'BMP List'!$A:$E,5,FALSE)</f>
        <v>Unit</v>
      </c>
      <c r="E24" s="25" t="str">
        <f>IF(ISERROR(VLOOKUP($B24,'BMP List'!A:C,3,FALSE)),"",VLOOKUP($B24,'BMP List'!A:C,3,FALSE))</f>
        <v>TP Credit</v>
      </c>
      <c r="F24" s="24" t="str">
        <f t="shared" ref="F24:F32" si="0">IF(ISERROR(C24*E24),"",IF(B24="Disconnecting Impervious Surface (Square Feet)",IF((1/24*E24*C24)&lt;($C$19*E24),1/24*E24*C24,$C$19*E24),IF(C24&gt;$C$19,$C$19*E24,C24*E24)))</f>
        <v/>
      </c>
      <c r="G24" s="27" t="str">
        <f>IF(ISERROR((VLOOKUP($B24,'BMP List'!$A:$D,4,FALSE))),"",VLOOKUP($B24,'BMP List'!$A:$D,4,FALSE))</f>
        <v>TSS Credit</v>
      </c>
      <c r="H24" s="30" t="str">
        <f t="shared" ref="H24:H32" si="1">IF(ISERROR(C24*G24),"",IF(B24="Hydrodynamic Separator (Square Feet)",IF((1/24*G24*$C$19)&lt;($C$19*G24),1/24*G24*$C$19,$C$19*G24),IF(B24="Disconnecting Impervious Surface (Square Feet)",IF((1/24*G24*C24)&lt;($C$19*G24),1/24*G24*C24,$C$19*G24),IF(C24&gt;$C$19,$C$19*G24,C24*G24))))</f>
        <v/>
      </c>
    </row>
    <row r="25" spans="1:8" ht="15" customHeight="1" x14ac:dyDescent="0.25">
      <c r="A25" s="6"/>
      <c r="B25" s="7" t="s">
        <v>0</v>
      </c>
      <c r="C25" s="70" t="str">
        <f>IF(B25="Stormwater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Calculations'!$E$30))),VLOOKUP(B25,'BMP List'!$A:$F,6,FALSE))</f>
        <v>(Enter BMP Details Here)</v>
      </c>
      <c r="D25" s="26" t="str">
        <f>VLOOKUP(B25,'BMP List'!$A:$E,5,FALSE)</f>
        <v>Unit</v>
      </c>
      <c r="E25" s="25" t="str">
        <f>IF(ISERROR(VLOOKUP($B25,'BMP List'!A:C,3,FALSE)),"",VLOOKUP($B25,'BMP List'!A:C,3,FALSE))</f>
        <v>TP Credit</v>
      </c>
      <c r="F25" s="24" t="str">
        <f t="shared" si="0"/>
        <v/>
      </c>
      <c r="G25" s="27" t="str">
        <f>IF(ISERROR((VLOOKUP($B25,'BMP List'!$A:$D,4,FALSE))),"",VLOOKUP($B25,'BMP List'!$A:$D,4,FALSE))</f>
        <v>TSS Credit</v>
      </c>
      <c r="H25" s="30" t="str">
        <f t="shared" si="1"/>
        <v/>
      </c>
    </row>
    <row r="26" spans="1:8" x14ac:dyDescent="0.25">
      <c r="A26" s="6"/>
      <c r="B26" s="7" t="s">
        <v>0</v>
      </c>
      <c r="C26" s="70" t="str">
        <f>IF(B26="Stormwater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Calculations'!$E$30))),VLOOKUP(B26,'BMP List'!$A:$F,6,FALSE))</f>
        <v>(Enter BMP Details Here)</v>
      </c>
      <c r="D26" s="26" t="str">
        <f>VLOOKUP(B26,'BMP List'!$A:$E,5,FALSE)</f>
        <v>Unit</v>
      </c>
      <c r="E26" s="25" t="str">
        <f>IF(ISERROR(VLOOKUP($B26,'BMP List'!A:C,3,FALSE)),"",VLOOKUP($B26,'BMP List'!A:C,3,FALSE))</f>
        <v>TP Credit</v>
      </c>
      <c r="F26" s="24" t="str">
        <f t="shared" si="0"/>
        <v/>
      </c>
      <c r="G26" s="27" t="str">
        <f>IF(ISERROR((VLOOKUP($B26,'BMP List'!$A:$D,4,FALSE))),"",VLOOKUP($B26,'BMP List'!$A:$D,4,FALSE))</f>
        <v>TSS Credit</v>
      </c>
      <c r="H26" s="30" t="str">
        <f t="shared" si="1"/>
        <v/>
      </c>
    </row>
    <row r="27" spans="1:8" x14ac:dyDescent="0.25">
      <c r="A27" s="6"/>
      <c r="B27" s="7" t="s">
        <v>0</v>
      </c>
      <c r="C27" s="70" t="str">
        <f>IF(B27="Stormwater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Calculations'!$E$30))),VLOOKUP(B27,'BMP List'!$A:$F,6,FALSE))</f>
        <v>(Enter BMP Details Here)</v>
      </c>
      <c r="D27" s="26" t="str">
        <f>VLOOKUP(B27,'BMP List'!$A:$E,5,FALSE)</f>
        <v>Unit</v>
      </c>
      <c r="E27" s="25" t="str">
        <f>IF(ISERROR(VLOOKUP($B27,'BMP List'!A:C,3,FALSE)),"",VLOOKUP($B27,'BMP List'!A:C,3,FALSE))</f>
        <v>TP Credit</v>
      </c>
      <c r="F27" s="24" t="str">
        <f t="shared" si="0"/>
        <v/>
      </c>
      <c r="G27" s="27" t="str">
        <f>IF(ISERROR((VLOOKUP($B27,'BMP List'!$A:$D,4,FALSE))),"",VLOOKUP($B27,'BMP List'!$A:$D,4,FALSE))</f>
        <v>TSS Credit</v>
      </c>
      <c r="H27" s="30" t="str">
        <f t="shared" si="1"/>
        <v/>
      </c>
    </row>
    <row r="28" spans="1:8" x14ac:dyDescent="0.25">
      <c r="A28" s="6"/>
      <c r="B28" s="7" t="s">
        <v>0</v>
      </c>
      <c r="C28" s="70" t="str">
        <f>IF(B28="Stormwater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Calculations'!$E$30))),VLOOKUP(B28,'BMP List'!$A:$F,6,FALSE))</f>
        <v>(Enter BMP Details Here)</v>
      </c>
      <c r="D28" s="26" t="str">
        <f>VLOOKUP(B28,'BMP List'!$A:$E,5,FALSE)</f>
        <v>Unit</v>
      </c>
      <c r="E28" s="25" t="str">
        <f>IF(ISERROR(VLOOKUP($B28,'BMP List'!A:C,3,FALSE)),"",VLOOKUP($B28,'BMP List'!A:C,3,FALSE))</f>
        <v>TP Credit</v>
      </c>
      <c r="F28" s="24" t="str">
        <f t="shared" si="0"/>
        <v/>
      </c>
      <c r="G28" s="27" t="str">
        <f>IF(ISERROR((VLOOKUP($B28,'BMP List'!$A:$D,4,FALSE))),"",VLOOKUP($B28,'BMP List'!$A:$D,4,FALSE))</f>
        <v>TSS Credit</v>
      </c>
      <c r="H28" s="30" t="str">
        <f t="shared" si="1"/>
        <v/>
      </c>
    </row>
    <row r="29" spans="1:8" x14ac:dyDescent="0.25">
      <c r="A29" s="6"/>
      <c r="B29" s="7" t="s">
        <v>0</v>
      </c>
      <c r="C29" s="70" t="str">
        <f>IF(B29="Stormwater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Calculations'!$E$30))),VLOOKUP(B29,'BMP List'!$A:$F,6,FALSE))</f>
        <v>(Enter BMP Details Here)</v>
      </c>
      <c r="D29" s="26" t="str">
        <f>VLOOKUP(B29,'BMP List'!$A:$E,5,FALSE)</f>
        <v>Unit</v>
      </c>
      <c r="E29" s="25" t="str">
        <f>IF(ISERROR(VLOOKUP($B29,'BMP List'!A:C,3,FALSE)),"",VLOOKUP($B29,'BMP List'!A:C,3,FALSE))</f>
        <v>TP Credit</v>
      </c>
      <c r="F29" s="24" t="str">
        <f t="shared" si="0"/>
        <v/>
      </c>
      <c r="G29" s="27" t="str">
        <f>IF(ISERROR((VLOOKUP($B29,'BMP List'!$A:$D,4,FALSE))),"",VLOOKUP($B29,'BMP List'!$A:$D,4,FALSE))</f>
        <v>TSS Credit</v>
      </c>
      <c r="H29" s="30" t="str">
        <f t="shared" si="1"/>
        <v/>
      </c>
    </row>
    <row r="30" spans="1:8" x14ac:dyDescent="0.25">
      <c r="A30" s="6"/>
      <c r="B30" s="7" t="s">
        <v>0</v>
      </c>
      <c r="C30" s="70" t="str">
        <f>IF(B30="Stormwater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Calculations'!$E$30))),VLOOKUP(B30,'BMP List'!$A:$F,6,FALSE))</f>
        <v>(Enter BMP Details Here)</v>
      </c>
      <c r="D30" s="26" t="str">
        <f>VLOOKUP(B30,'BMP List'!$A:$E,5,FALSE)</f>
        <v>Unit</v>
      </c>
      <c r="E30" s="25" t="str">
        <f>IF(ISERROR(VLOOKUP($B30,'BMP List'!A:C,3,FALSE)),"",VLOOKUP($B30,'BMP List'!A:C,3,FALSE))</f>
        <v>TP Credit</v>
      </c>
      <c r="F30" s="24" t="str">
        <f t="shared" si="0"/>
        <v/>
      </c>
      <c r="G30" s="27" t="str">
        <f>IF(ISERROR((VLOOKUP($B30,'BMP List'!$A:$D,4,FALSE))),"",VLOOKUP($B30,'BMP List'!$A:$D,4,FALSE))</f>
        <v>TSS Credit</v>
      </c>
      <c r="H30" s="30" t="str">
        <f t="shared" si="1"/>
        <v/>
      </c>
    </row>
    <row r="31" spans="1:8" ht="15" customHeight="1" x14ac:dyDescent="0.25">
      <c r="A31" s="6"/>
      <c r="B31" s="7" t="s">
        <v>0</v>
      </c>
      <c r="C31" s="70" t="str">
        <f>IF(B31="Stormwater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Calculations'!$E$30))),VLOOKUP(B31,'BMP List'!$A:$F,6,FALSE))</f>
        <v>(Enter BMP Details Here)</v>
      </c>
      <c r="D31" s="26" t="str">
        <f>VLOOKUP(B31,'BMP List'!$A:$E,5,FALSE)</f>
        <v>Unit</v>
      </c>
      <c r="E31" s="25" t="str">
        <f>IF(ISERROR(VLOOKUP($B31,'BMP List'!A:C,3,FALSE)),"",VLOOKUP($B31,'BMP List'!A:C,3,FALSE))</f>
        <v>TP Credit</v>
      </c>
      <c r="F31" s="24" t="str">
        <f t="shared" si="0"/>
        <v/>
      </c>
      <c r="G31" s="27" t="str">
        <f>IF(ISERROR((VLOOKUP($B31,'BMP List'!$A:$D,4,FALSE))),"",VLOOKUP($B31,'BMP List'!$A:$D,4,FALSE))</f>
        <v>TSS Credit</v>
      </c>
      <c r="H31" s="30" t="str">
        <f t="shared" si="1"/>
        <v/>
      </c>
    </row>
    <row r="32" spans="1:8" ht="15.75" thickBot="1" x14ac:dyDescent="0.3">
      <c r="A32" s="8"/>
      <c r="B32" s="91" t="s">
        <v>0</v>
      </c>
      <c r="C32" s="71" t="str">
        <f>IF(B32="Stormwater Reuse",IF('Stormwater Reuse Calculations'!$C$11&gt;0,IF('Stormwater Reuse Calculations'!$E$25="Yes",'Stormwater Reuse Calculations'!$D$21,'Stormwater Reuse Calculations'!$E$29),IF('Stormwater Reuse Calculations'!$C$13&gt;0,IF('Stormwater Reuse Calculations'!$E$26="Yes",'Stormwater Reuse Calculations'!$D$21,'Stormwater Reuse Calculations'!$E$30))),VLOOKUP(B32,'BMP List'!$A:$F,6,FALSE))</f>
        <v>(Enter BMP Details Here)</v>
      </c>
      <c r="D32" s="31" t="str">
        <f>VLOOKUP(B32,'BMP List'!$A:$E,5,FALSE)</f>
        <v>Unit</v>
      </c>
      <c r="E32" s="25" t="str">
        <f>IF(ISERROR(VLOOKUP($B32,'BMP List'!A:C,3,FALSE)),"",VLOOKUP($B32,'BMP List'!A:C,3,FALSE))</f>
        <v>TP Credit</v>
      </c>
      <c r="F32" s="24" t="str">
        <f t="shared" si="0"/>
        <v/>
      </c>
      <c r="G32" s="27" t="str">
        <f>IF(ISERROR((VLOOKUP($B32,'BMP List'!$A:$D,4,FALSE))),"",VLOOKUP($B32,'BMP List'!$A:$D,4,FALSE))</f>
        <v>TSS Credit</v>
      </c>
      <c r="H32" s="30" t="str">
        <f t="shared" si="1"/>
        <v/>
      </c>
    </row>
    <row r="33" spans="2:8" ht="15.75" thickBot="1" x14ac:dyDescent="0.3">
      <c r="B33" s="57"/>
      <c r="C33" s="57"/>
      <c r="D33" s="28" t="s">
        <v>17</v>
      </c>
      <c r="F33" s="23">
        <f>SUM(F23:F32)</f>
        <v>0</v>
      </c>
      <c r="H33" s="23">
        <f>SUM(H23:H32)</f>
        <v>0</v>
      </c>
    </row>
    <row r="34" spans="2:8" ht="16.5" customHeight="1" thickTop="1" thickBot="1" x14ac:dyDescent="0.3">
      <c r="D34" s="10" t="s">
        <v>18</v>
      </c>
      <c r="F34" s="17" t="e">
        <f>IF((F33/($C$19*0.9))&gt;1,"&gt;100%",F33/($C$19*0.9))</f>
        <v>#DIV/0!</v>
      </c>
      <c r="H34" s="17" t="e">
        <f>IF((H33/($C$19*0.9))&gt;1,"&gt;100%",H33/($C$19*0.9))</f>
        <v>#DIV/0!</v>
      </c>
    </row>
    <row r="35" spans="2:8" ht="16.5" thickTop="1" thickBot="1" x14ac:dyDescent="0.3">
      <c r="D35" s="10" t="s">
        <v>24</v>
      </c>
      <c r="F35" s="10" t="e">
        <f>IF(F34&gt;=100%,"YES","NO")</f>
        <v>#DIV/0!</v>
      </c>
      <c r="H35" s="10" t="e">
        <f>IF(H34&gt;=100%,"YES","NO")</f>
        <v>#DIV/0!</v>
      </c>
    </row>
    <row r="36" spans="2:8" ht="15.75" thickTop="1" x14ac:dyDescent="0.25">
      <c r="D36" s="73"/>
      <c r="E36" s="64"/>
      <c r="F36" s="74"/>
      <c r="G36" s="64"/>
      <c r="H36" s="74"/>
    </row>
    <row r="37" spans="2:8" x14ac:dyDescent="0.25">
      <c r="F37" s="50"/>
    </row>
    <row r="44" spans="2:8" ht="23.25" x14ac:dyDescent="0.25">
      <c r="B44" s="39" t="s">
        <v>19</v>
      </c>
    </row>
    <row r="46" spans="2:8" ht="23.25" x14ac:dyDescent="0.25">
      <c r="B46" s="66" t="s">
        <v>20</v>
      </c>
    </row>
    <row r="47" spans="2:8" ht="15.75" thickBot="1" x14ac:dyDescent="0.3"/>
    <row r="48" spans="2:8" ht="24.75" thickTop="1" thickBot="1" x14ac:dyDescent="0.3">
      <c r="B48" s="67" t="s">
        <v>21</v>
      </c>
    </row>
    <row r="49" spans="4:8" ht="15.75" thickTop="1" x14ac:dyDescent="0.25"/>
    <row r="58" spans="4:8" ht="16.5" hidden="1" thickTop="1" thickBot="1" x14ac:dyDescent="0.3">
      <c r="D58" s="11" t="s">
        <v>50</v>
      </c>
      <c r="F58" s="72">
        <f>(IF(F23="",0,E23*$C$23)+IF(F24="",0,E24*$C$24)+IF(F25="",0,E25*$C$25)+IF(F26="",0,E26*$C$26)+IF(F27="",0,E27*$C$27)+IF(F28="",0,E28*$C$28)+IF(F29="",0,E29*$C$29)+IF(F30="",0,E30*$C$30)+IF(F31="",0,E31*$C$31)+IF(F32="",0,E32*$C$32))-($C$19*0.9)</f>
        <v>0</v>
      </c>
      <c r="H58" s="72">
        <f>(IF(H23="",0,G23*$C$23)+IF(H24="",0,G24*$C$24)+IF(H25="",0,G25*$C$25)+IF(H26="",0,G26*$C$26)+IF(H27="",0,G27*$C$27)+IF(H28="",0,G28*$C$28)+IF(H29="",0,G29*$C$29)+IF(H30="",0,G30*$C$30)+IF(H31="",0,G31*$C$31)+IF(H32="",0,G32*$C$32))-($C$19*0.9)</f>
        <v>0</v>
      </c>
    </row>
  </sheetData>
  <conditionalFormatting sqref="F58 H58">
    <cfRule type="cellIs" dxfId="27" priority="6" operator="lessThan">
      <formula>0</formula>
    </cfRule>
    <cfRule type="cellIs" dxfId="26" priority="7" operator="greaterThan">
      <formula>0</formula>
    </cfRule>
  </conditionalFormatting>
  <conditionalFormatting sqref="F36 H36">
    <cfRule type="cellIs" dxfId="25" priority="8" operator="lessThan">
      <formula>0</formula>
    </cfRule>
    <cfRule type="cellIs" dxfId="24" priority="9" operator="greaterThan">
      <formula>0</formula>
    </cfRule>
  </conditionalFormatting>
  <conditionalFormatting sqref="F35 H35">
    <cfRule type="containsText" dxfId="23" priority="4" operator="containsText" text="yes">
      <formula>NOT(ISERROR(SEARCH("yes",F35)))</formula>
    </cfRule>
    <cfRule type="containsText" dxfId="22" priority="5" operator="containsText" text="No">
      <formula>NOT(ISERROR(SEARCH("No",F35)))</formula>
    </cfRule>
  </conditionalFormatting>
  <conditionalFormatting sqref="C19">
    <cfRule type="containsText" dxfId="21" priority="1" operator="containsText" text="N/A">
      <formula>NOT(ISERROR(SEARCH("N/A",C19)))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EF41C9-7852-48DD-99CA-BC99BCD69500}">
          <x14:formula1>
            <xm:f>'BMP List'!$A$1:$A$22</xm:f>
          </x14:formula1>
          <xm:sqref>B23:B32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Overall Volume reduction</vt:lpstr>
      <vt:lpstr>Stormwater Reuse Calculations</vt:lpstr>
      <vt:lpstr>Linear Sub 1</vt:lpstr>
      <vt:lpstr>Linear Sub 2</vt:lpstr>
      <vt:lpstr>Linear Sub 3</vt:lpstr>
      <vt:lpstr>Linear Sub 4</vt:lpstr>
      <vt:lpstr>Linear Sub 5</vt:lpstr>
      <vt:lpstr>Linear Sub 6</vt:lpstr>
      <vt:lpstr>Linear Sub 7</vt:lpstr>
      <vt:lpstr>Linear Sub 8</vt:lpstr>
      <vt:lpstr>Linear Sub 9</vt:lpstr>
      <vt:lpstr>Linear Sub 10</vt:lpstr>
      <vt:lpstr>BMP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Larson</dc:creator>
  <cp:lastModifiedBy>Tim Sundby</cp:lastModifiedBy>
  <dcterms:created xsi:type="dcterms:W3CDTF">2013-01-07T15:24:45Z</dcterms:created>
  <dcterms:modified xsi:type="dcterms:W3CDTF">2024-10-31T21:00:13Z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eefb31f3e70148d3b860020df359c031</vt:lpwstr>
  </property>
</Properties>
</file>