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R:\Water NEW\05_Permits\01_Development Review\02_Resources\Calculator\"/>
    </mc:Choice>
  </mc:AlternateContent>
  <xr:revisionPtr revIDLastSave="0" documentId="8_{6B986F03-96C3-4579-91E5-254DF2E4B9E8}" xr6:coauthVersionLast="47" xr6:coauthVersionMax="47" xr10:uidLastSave="{00000000-0000-0000-0000-000000000000}"/>
  <bookViews>
    <workbookView xWindow="-28920" yWindow="-120" windowWidth="29040" windowHeight="15840" tabRatio="919" activeTab="2" xr2:uid="{00000000-000D-0000-FFFF-FFFF00000000}"/>
  </bookViews>
  <sheets>
    <sheet name="Overall Volume reduction" sheetId="1" r:id="rId1"/>
    <sheet name="Stormwater Reuse Calculations" sheetId="13" r:id="rId2"/>
    <sheet name="Subwatershed 1" sheetId="3" r:id="rId3"/>
    <sheet name="Subwatershed 2" sheetId="21" r:id="rId4"/>
    <sheet name="Subwatershed 3" sheetId="22" r:id="rId5"/>
    <sheet name="Subwatershed 4" sheetId="23" r:id="rId6"/>
    <sheet name="Subwatershed 5" sheetId="24" r:id="rId7"/>
    <sheet name="Subwatershed 6" sheetId="25" r:id="rId8"/>
    <sheet name="Subwatershed 7" sheetId="26" r:id="rId9"/>
    <sheet name="Subwatershed 8" sheetId="27" r:id="rId10"/>
    <sheet name="Subwatershed 9" sheetId="28" r:id="rId11"/>
    <sheet name="Subwatershed 10" sheetId="29" r:id="rId12"/>
    <sheet name="BMP List" sheetId="2" r:id="rId13"/>
    <sheet name="ESRI_MAPINFO_SHEET" sheetId="20" state="veryHidden" r:id="rId14"/>
  </sheets>
  <definedNames>
    <definedName name="_xlnm._FilterDatabase" localSheetId="12" hidden="1">'BMP List'!$A$1:$G$18</definedName>
    <definedName name="BMPlist" localSheetId="1">#REF!</definedName>
    <definedName name="BMPlist" localSheetId="2">#REF!</definedName>
    <definedName name="BMPlist" localSheetId="11">#REF!</definedName>
    <definedName name="BMPlist" localSheetId="3">#REF!</definedName>
    <definedName name="BMPlist" localSheetId="4">#REF!</definedName>
    <definedName name="BMPlist" localSheetId="5">#REF!</definedName>
    <definedName name="BMPlist" localSheetId="6">#REF!</definedName>
    <definedName name="BMPlist" localSheetId="7">#REF!</definedName>
    <definedName name="BMPlist" localSheetId="8">#REF!</definedName>
    <definedName name="BMPlist" localSheetId="9">#REF!</definedName>
    <definedName name="BMPlist" localSheetId="10">#REF!</definedName>
    <definedName name="BMPlist">#REF!</definedName>
    <definedName name="CreditListV1.1" localSheetId="1">#REF!</definedName>
    <definedName name="CreditListV1.1" localSheetId="2">#REF!</definedName>
    <definedName name="CreditListV1.1" localSheetId="11">#REF!</definedName>
    <definedName name="CreditListV1.1" localSheetId="3">#REF!</definedName>
    <definedName name="CreditListV1.1" localSheetId="4">#REF!</definedName>
    <definedName name="CreditListV1.1" localSheetId="5">#REF!</definedName>
    <definedName name="CreditListV1.1" localSheetId="6">#REF!</definedName>
    <definedName name="CreditListV1.1" localSheetId="7">#REF!</definedName>
    <definedName name="CreditListV1.1" localSheetId="8">#REF!</definedName>
    <definedName name="CreditListV1.1" localSheetId="9">#REF!</definedName>
    <definedName name="CreditListV1.1" localSheetId="10">#REF!</definedName>
    <definedName name="CreditListV1.1">#REF!</definedName>
    <definedName name="CreditListV1.2" localSheetId="1">#REF!</definedName>
    <definedName name="CreditListV1.2" localSheetId="2">#REF!</definedName>
    <definedName name="CreditListV1.2" localSheetId="11">#REF!</definedName>
    <definedName name="CreditListV1.2" localSheetId="3">#REF!</definedName>
    <definedName name="CreditListV1.2" localSheetId="4">#REF!</definedName>
    <definedName name="CreditListV1.2" localSheetId="5">#REF!</definedName>
    <definedName name="CreditListV1.2" localSheetId="6">#REF!</definedName>
    <definedName name="CreditListV1.2" localSheetId="7">#REF!</definedName>
    <definedName name="CreditListV1.2" localSheetId="8">#REF!</definedName>
    <definedName name="CreditListV1.2" localSheetId="9">#REF!</definedName>
    <definedName name="CreditListV1.2" localSheetId="10">#REF!</definedName>
    <definedName name="CreditListV1.2">#REF!</definedName>
    <definedName name="TheCreditList" localSheetId="1">#REF!</definedName>
    <definedName name="TheCreditList" localSheetId="2">#REF!</definedName>
    <definedName name="TheCreditList" localSheetId="11">#REF!</definedName>
    <definedName name="TheCreditList" localSheetId="3">#REF!</definedName>
    <definedName name="TheCreditList" localSheetId="4">#REF!</definedName>
    <definedName name="TheCreditList" localSheetId="5">#REF!</definedName>
    <definedName name="TheCreditList" localSheetId="6">#REF!</definedName>
    <definedName name="TheCreditList" localSheetId="7">#REF!</definedName>
    <definedName name="TheCreditList" localSheetId="8">#REF!</definedName>
    <definedName name="TheCreditList" localSheetId="9">#REF!</definedName>
    <definedName name="TheCreditList" localSheetId="10">#REF!</definedName>
    <definedName name="TheCreditLis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7" i="1" l="1"/>
  <c r="I36" i="1" l="1"/>
  <c r="H36" i="1"/>
  <c r="C18" i="1" l="1"/>
  <c r="G20" i="29" l="1"/>
  <c r="E20" i="29"/>
  <c r="D20" i="29"/>
  <c r="C20" i="29"/>
  <c r="H20" i="29" s="1"/>
  <c r="G19" i="29"/>
  <c r="E19" i="29"/>
  <c r="D19" i="29"/>
  <c r="C19" i="29"/>
  <c r="F19" i="29" s="1"/>
  <c r="G18" i="29"/>
  <c r="E18" i="29"/>
  <c r="D18" i="29"/>
  <c r="C18" i="29"/>
  <c r="H18" i="29" s="1"/>
  <c r="G17" i="29"/>
  <c r="E17" i="29"/>
  <c r="D17" i="29"/>
  <c r="C17" i="29"/>
  <c r="F17" i="29" s="1"/>
  <c r="G16" i="29"/>
  <c r="E16" i="29"/>
  <c r="D16" i="29"/>
  <c r="C16" i="29"/>
  <c r="H16" i="29" s="1"/>
  <c r="G15" i="29"/>
  <c r="E15" i="29"/>
  <c r="D15" i="29"/>
  <c r="C15" i="29"/>
  <c r="F15" i="29" s="1"/>
  <c r="G14" i="29"/>
  <c r="E14" i="29"/>
  <c r="D14" i="29"/>
  <c r="C14" i="29"/>
  <c r="H14" i="29" s="1"/>
  <c r="G13" i="29"/>
  <c r="E13" i="29"/>
  <c r="D13" i="29"/>
  <c r="C13" i="29"/>
  <c r="F13" i="29" s="1"/>
  <c r="G12" i="29"/>
  <c r="E12" i="29"/>
  <c r="D12" i="29"/>
  <c r="C12" i="29"/>
  <c r="H12" i="29" s="1"/>
  <c r="G11" i="29"/>
  <c r="E11" i="29"/>
  <c r="D11" i="29"/>
  <c r="C11" i="29"/>
  <c r="F11" i="29" s="1"/>
  <c r="C5" i="29"/>
  <c r="C7" i="29" s="1"/>
  <c r="G20" i="28"/>
  <c r="E20" i="28"/>
  <c r="D20" i="28"/>
  <c r="C20" i="28"/>
  <c r="F20" i="28" s="1"/>
  <c r="G19" i="28"/>
  <c r="E19" i="28"/>
  <c r="D19" i="28"/>
  <c r="C19" i="28"/>
  <c r="H19" i="28" s="1"/>
  <c r="G18" i="28"/>
  <c r="E18" i="28"/>
  <c r="D18" i="28"/>
  <c r="C18" i="28"/>
  <c r="F18" i="28" s="1"/>
  <c r="G17" i="28"/>
  <c r="E17" i="28"/>
  <c r="D17" i="28"/>
  <c r="C17" i="28"/>
  <c r="H17" i="28" s="1"/>
  <c r="G16" i="28"/>
  <c r="E16" i="28"/>
  <c r="D16" i="28"/>
  <c r="C16" i="28"/>
  <c r="F16" i="28" s="1"/>
  <c r="G15" i="28"/>
  <c r="E15" i="28"/>
  <c r="D15" i="28"/>
  <c r="C15" i="28"/>
  <c r="H15" i="28" s="1"/>
  <c r="G14" i="28"/>
  <c r="E14" i="28"/>
  <c r="D14" i="28"/>
  <c r="C14" i="28"/>
  <c r="F14" i="28" s="1"/>
  <c r="G13" i="28"/>
  <c r="E13" i="28"/>
  <c r="D13" i="28"/>
  <c r="C13" i="28"/>
  <c r="H13" i="28" s="1"/>
  <c r="G12" i="28"/>
  <c r="E12" i="28"/>
  <c r="D12" i="28"/>
  <c r="C12" i="28"/>
  <c r="F12" i="28" s="1"/>
  <c r="G11" i="28"/>
  <c r="E11" i="28"/>
  <c r="D11" i="28"/>
  <c r="C11" i="28"/>
  <c r="H11" i="28" s="1"/>
  <c r="C5" i="28"/>
  <c r="C7" i="28" s="1"/>
  <c r="G20" i="27"/>
  <c r="E20" i="27"/>
  <c r="D20" i="27"/>
  <c r="C20" i="27"/>
  <c r="H20" i="27" s="1"/>
  <c r="G19" i="27"/>
  <c r="E19" i="27"/>
  <c r="D19" i="27"/>
  <c r="C19" i="27"/>
  <c r="G18" i="27"/>
  <c r="E18" i="27"/>
  <c r="D18" i="27"/>
  <c r="C18" i="27"/>
  <c r="H18" i="27" s="1"/>
  <c r="G17" i="27"/>
  <c r="E17" i="27"/>
  <c r="D17" i="27"/>
  <c r="C17" i="27"/>
  <c r="G16" i="27"/>
  <c r="E16" i="27"/>
  <c r="D16" i="27"/>
  <c r="C16" i="27"/>
  <c r="H16" i="27" s="1"/>
  <c r="G15" i="27"/>
  <c r="E15" i="27"/>
  <c r="D15" i="27"/>
  <c r="C15" i="27"/>
  <c r="G14" i="27"/>
  <c r="E14" i="27"/>
  <c r="D14" i="27"/>
  <c r="C14" i="27"/>
  <c r="H14" i="27" s="1"/>
  <c r="G13" i="27"/>
  <c r="E13" i="27"/>
  <c r="D13" i="27"/>
  <c r="C13" i="27"/>
  <c r="G12" i="27"/>
  <c r="E12" i="27"/>
  <c r="D12" i="27"/>
  <c r="C12" i="27"/>
  <c r="H12" i="27" s="1"/>
  <c r="G11" i="27"/>
  <c r="E11" i="27"/>
  <c r="D11" i="27"/>
  <c r="C11" i="27"/>
  <c r="C5" i="27"/>
  <c r="C7" i="27" s="1"/>
  <c r="G20" i="26"/>
  <c r="E20" i="26"/>
  <c r="D20" i="26"/>
  <c r="C20" i="26"/>
  <c r="F20" i="26" s="1"/>
  <c r="G19" i="26"/>
  <c r="E19" i="26"/>
  <c r="D19" i="26"/>
  <c r="C19" i="26"/>
  <c r="H19" i="26" s="1"/>
  <c r="G18" i="26"/>
  <c r="E18" i="26"/>
  <c r="D18" i="26"/>
  <c r="C18" i="26"/>
  <c r="F18" i="26" s="1"/>
  <c r="G17" i="26"/>
  <c r="E17" i="26"/>
  <c r="D17" i="26"/>
  <c r="C17" i="26"/>
  <c r="H17" i="26" s="1"/>
  <c r="G16" i="26"/>
  <c r="E16" i="26"/>
  <c r="D16" i="26"/>
  <c r="C16" i="26"/>
  <c r="F16" i="26" s="1"/>
  <c r="G15" i="26"/>
  <c r="E15" i="26"/>
  <c r="D15" i="26"/>
  <c r="C15" i="26"/>
  <c r="H15" i="26" s="1"/>
  <c r="G14" i="26"/>
  <c r="E14" i="26"/>
  <c r="D14" i="26"/>
  <c r="C14" i="26"/>
  <c r="F14" i="26" s="1"/>
  <c r="G13" i="26"/>
  <c r="E13" i="26"/>
  <c r="D13" i="26"/>
  <c r="C13" i="26"/>
  <c r="H13" i="26" s="1"/>
  <c r="G12" i="26"/>
  <c r="E12" i="26"/>
  <c r="D12" i="26"/>
  <c r="C12" i="26"/>
  <c r="F12" i="26" s="1"/>
  <c r="G11" i="26"/>
  <c r="E11" i="26"/>
  <c r="D11" i="26"/>
  <c r="C11" i="26"/>
  <c r="H11" i="26" s="1"/>
  <c r="C5" i="26"/>
  <c r="C7" i="26" s="1"/>
  <c r="G20" i="25"/>
  <c r="E20" i="25"/>
  <c r="D20" i="25"/>
  <c r="C20" i="25"/>
  <c r="H20" i="25" s="1"/>
  <c r="G19" i="25"/>
  <c r="E19" i="25"/>
  <c r="D19" i="25"/>
  <c r="C19" i="25"/>
  <c r="F19" i="25" s="1"/>
  <c r="G18" i="25"/>
  <c r="E18" i="25"/>
  <c r="D18" i="25"/>
  <c r="C18" i="25"/>
  <c r="H18" i="25" s="1"/>
  <c r="G17" i="25"/>
  <c r="E17" i="25"/>
  <c r="D17" i="25"/>
  <c r="C17" i="25"/>
  <c r="F17" i="25" s="1"/>
  <c r="G16" i="25"/>
  <c r="E16" i="25"/>
  <c r="D16" i="25"/>
  <c r="C16" i="25"/>
  <c r="H16" i="25" s="1"/>
  <c r="G15" i="25"/>
  <c r="E15" i="25"/>
  <c r="D15" i="25"/>
  <c r="C15" i="25"/>
  <c r="F15" i="25" s="1"/>
  <c r="G14" i="25"/>
  <c r="E14" i="25"/>
  <c r="D14" i="25"/>
  <c r="C14" i="25"/>
  <c r="H14" i="25" s="1"/>
  <c r="G13" i="25"/>
  <c r="E13" i="25"/>
  <c r="D13" i="25"/>
  <c r="C13" i="25"/>
  <c r="F13" i="25" s="1"/>
  <c r="G12" i="25"/>
  <c r="E12" i="25"/>
  <c r="D12" i="25"/>
  <c r="C12" i="25"/>
  <c r="H12" i="25" s="1"/>
  <c r="G11" i="25"/>
  <c r="E11" i="25"/>
  <c r="D11" i="25"/>
  <c r="C11" i="25"/>
  <c r="F11" i="25" s="1"/>
  <c r="C5" i="25"/>
  <c r="C7" i="25" s="1"/>
  <c r="G20" i="24"/>
  <c r="E20" i="24"/>
  <c r="D20" i="24"/>
  <c r="C20" i="24"/>
  <c r="G19" i="24"/>
  <c r="E19" i="24"/>
  <c r="D19" i="24"/>
  <c r="C19" i="24"/>
  <c r="H19" i="24" s="1"/>
  <c r="G18" i="24"/>
  <c r="E18" i="24"/>
  <c r="D18" i="24"/>
  <c r="C18" i="24"/>
  <c r="G17" i="24"/>
  <c r="E17" i="24"/>
  <c r="D17" i="24"/>
  <c r="C17" i="24"/>
  <c r="H17" i="24" s="1"/>
  <c r="G16" i="24"/>
  <c r="E16" i="24"/>
  <c r="D16" i="24"/>
  <c r="C16" i="24"/>
  <c r="G15" i="24"/>
  <c r="E15" i="24"/>
  <c r="D15" i="24"/>
  <c r="C15" i="24"/>
  <c r="H15" i="24" s="1"/>
  <c r="G14" i="24"/>
  <c r="E14" i="24"/>
  <c r="D14" i="24"/>
  <c r="C14" i="24"/>
  <c r="G13" i="24"/>
  <c r="E13" i="24"/>
  <c r="D13" i="24"/>
  <c r="C13" i="24"/>
  <c r="H13" i="24" s="1"/>
  <c r="G12" i="24"/>
  <c r="E12" i="24"/>
  <c r="D12" i="24"/>
  <c r="C12" i="24"/>
  <c r="G11" i="24"/>
  <c r="E11" i="24"/>
  <c r="D11" i="24"/>
  <c r="C11" i="24"/>
  <c r="H11" i="24" s="1"/>
  <c r="C5" i="24"/>
  <c r="C7" i="24" s="1"/>
  <c r="G20" i="23"/>
  <c r="E20" i="23"/>
  <c r="D20" i="23"/>
  <c r="C20" i="23"/>
  <c r="G19" i="23"/>
  <c r="E19" i="23"/>
  <c r="D19" i="23"/>
  <c r="C19" i="23"/>
  <c r="G18" i="23"/>
  <c r="E18" i="23"/>
  <c r="F18" i="23" s="1"/>
  <c r="D18" i="23"/>
  <c r="C18" i="23"/>
  <c r="G17" i="23"/>
  <c r="E17" i="23"/>
  <c r="D17" i="23"/>
  <c r="C17" i="23"/>
  <c r="G16" i="23"/>
  <c r="E16" i="23"/>
  <c r="D16" i="23"/>
  <c r="C16" i="23"/>
  <c r="G15" i="23"/>
  <c r="E15" i="23"/>
  <c r="D15" i="23"/>
  <c r="C15" i="23"/>
  <c r="G14" i="23"/>
  <c r="E14" i="23"/>
  <c r="D14" i="23"/>
  <c r="C14" i="23"/>
  <c r="G13" i="23"/>
  <c r="E13" i="23"/>
  <c r="D13" i="23"/>
  <c r="C13" i="23"/>
  <c r="G12" i="23"/>
  <c r="E12" i="23"/>
  <c r="D12" i="23"/>
  <c r="C12" i="23"/>
  <c r="G11" i="23"/>
  <c r="E11" i="23"/>
  <c r="D11" i="23"/>
  <c r="C11" i="23"/>
  <c r="C5" i="23"/>
  <c r="C7" i="23" s="1"/>
  <c r="G20" i="22"/>
  <c r="E20" i="22"/>
  <c r="D20" i="22"/>
  <c r="C20" i="22"/>
  <c r="F20" i="22" s="1"/>
  <c r="G19" i="22"/>
  <c r="E19" i="22"/>
  <c r="D19" i="22"/>
  <c r="C19" i="22"/>
  <c r="H19" i="22" s="1"/>
  <c r="G18" i="22"/>
  <c r="E18" i="22"/>
  <c r="D18" i="22"/>
  <c r="C18" i="22"/>
  <c r="F18" i="22" s="1"/>
  <c r="G17" i="22"/>
  <c r="E17" i="22"/>
  <c r="D17" i="22"/>
  <c r="C17" i="22"/>
  <c r="H17" i="22" s="1"/>
  <c r="G16" i="22"/>
  <c r="E16" i="22"/>
  <c r="D16" i="22"/>
  <c r="C16" i="22"/>
  <c r="F16" i="22" s="1"/>
  <c r="G15" i="22"/>
  <c r="E15" i="22"/>
  <c r="D15" i="22"/>
  <c r="C15" i="22"/>
  <c r="H15" i="22" s="1"/>
  <c r="G14" i="22"/>
  <c r="E14" i="22"/>
  <c r="D14" i="22"/>
  <c r="C14" i="22"/>
  <c r="F14" i="22" s="1"/>
  <c r="G13" i="22"/>
  <c r="E13" i="22"/>
  <c r="D13" i="22"/>
  <c r="C13" i="22"/>
  <c r="H13" i="22" s="1"/>
  <c r="G12" i="22"/>
  <c r="E12" i="22"/>
  <c r="D12" i="22"/>
  <c r="C12" i="22"/>
  <c r="F12" i="22" s="1"/>
  <c r="G11" i="22"/>
  <c r="E11" i="22"/>
  <c r="D11" i="22"/>
  <c r="C11" i="22"/>
  <c r="H11" i="22" s="1"/>
  <c r="C5" i="22"/>
  <c r="C7" i="22" s="1"/>
  <c r="G20" i="21"/>
  <c r="E20" i="21"/>
  <c r="D20" i="21"/>
  <c r="C20" i="21"/>
  <c r="H20" i="21" s="1"/>
  <c r="G19" i="21"/>
  <c r="E19" i="21"/>
  <c r="D19" i="21"/>
  <c r="C19" i="21"/>
  <c r="F19" i="21" s="1"/>
  <c r="G18" i="21"/>
  <c r="E18" i="21"/>
  <c r="D18" i="21"/>
  <c r="C18" i="21"/>
  <c r="H18" i="21" s="1"/>
  <c r="G17" i="21"/>
  <c r="E17" i="21"/>
  <c r="D17" i="21"/>
  <c r="C17" i="21"/>
  <c r="F17" i="21" s="1"/>
  <c r="G16" i="21"/>
  <c r="E16" i="21"/>
  <c r="D16" i="21"/>
  <c r="C16" i="21"/>
  <c r="H16" i="21" s="1"/>
  <c r="G15" i="21"/>
  <c r="E15" i="21"/>
  <c r="D15" i="21"/>
  <c r="C15" i="21"/>
  <c r="F15" i="21" s="1"/>
  <c r="G14" i="21"/>
  <c r="E14" i="21"/>
  <c r="D14" i="21"/>
  <c r="C14" i="21"/>
  <c r="H14" i="21" s="1"/>
  <c r="G13" i="21"/>
  <c r="E13" i="21"/>
  <c r="D13" i="21"/>
  <c r="C13" i="21"/>
  <c r="F13" i="21" s="1"/>
  <c r="G12" i="21"/>
  <c r="E12" i="21"/>
  <c r="D12" i="21"/>
  <c r="C12" i="21"/>
  <c r="H12" i="21" s="1"/>
  <c r="G11" i="21"/>
  <c r="E11" i="21"/>
  <c r="D11" i="21"/>
  <c r="C11" i="21"/>
  <c r="F11" i="21" s="1"/>
  <c r="C5" i="21"/>
  <c r="C7" i="21" s="1"/>
  <c r="B19" i="2"/>
  <c r="B16" i="2"/>
  <c r="B17" i="2"/>
  <c r="B18" i="2"/>
  <c r="C11" i="3"/>
  <c r="C20" i="3"/>
  <c r="C19" i="3"/>
  <c r="C18" i="3"/>
  <c r="C17" i="3"/>
  <c r="C16" i="3"/>
  <c r="C15" i="3"/>
  <c r="C14" i="3"/>
  <c r="C13" i="3"/>
  <c r="C12" i="3"/>
  <c r="B21" i="2"/>
  <c r="F12" i="21" l="1"/>
  <c r="F14" i="21"/>
  <c r="F16" i="21"/>
  <c r="F18" i="21"/>
  <c r="F21" i="21" s="1"/>
  <c r="F22" i="21" s="1"/>
  <c r="F23" i="21" s="1"/>
  <c r="F20" i="21"/>
  <c r="F11" i="23"/>
  <c r="H12" i="23"/>
  <c r="F13" i="23"/>
  <c r="H14" i="23"/>
  <c r="F15" i="23"/>
  <c r="H16" i="23"/>
  <c r="F17" i="23"/>
  <c r="H18" i="23"/>
  <c r="F19" i="23"/>
  <c r="H20" i="23"/>
  <c r="F11" i="27"/>
  <c r="F13" i="27"/>
  <c r="F15" i="27"/>
  <c r="F17" i="27"/>
  <c r="F19" i="27"/>
  <c r="F12" i="24"/>
  <c r="F14" i="24"/>
  <c r="F16" i="24"/>
  <c r="F18" i="24"/>
  <c r="F20" i="24"/>
  <c r="F11" i="28"/>
  <c r="H12" i="28"/>
  <c r="F13" i="28"/>
  <c r="H14" i="28"/>
  <c r="F15" i="28"/>
  <c r="H16" i="28"/>
  <c r="F17" i="28"/>
  <c r="H18" i="28"/>
  <c r="F19" i="28"/>
  <c r="H20" i="28"/>
  <c r="H11" i="29"/>
  <c r="F12" i="29"/>
  <c r="H13" i="29"/>
  <c r="F14" i="29"/>
  <c r="H15" i="29"/>
  <c r="F16" i="29"/>
  <c r="H17" i="29"/>
  <c r="F18" i="29"/>
  <c r="H19" i="29"/>
  <c r="F20" i="29"/>
  <c r="F11" i="24"/>
  <c r="H12" i="24"/>
  <c r="F13" i="24"/>
  <c r="H14" i="24"/>
  <c r="F15" i="24"/>
  <c r="H16" i="24"/>
  <c r="F17" i="24"/>
  <c r="H18" i="24"/>
  <c r="F19" i="24"/>
  <c r="H20" i="24"/>
  <c r="H11" i="25"/>
  <c r="F12" i="25"/>
  <c r="H13" i="25"/>
  <c r="F14" i="25"/>
  <c r="H15" i="25"/>
  <c r="F16" i="25"/>
  <c r="H17" i="25"/>
  <c r="F18" i="25"/>
  <c r="H19" i="25"/>
  <c r="F20" i="25"/>
  <c r="F11" i="26"/>
  <c r="H12" i="26"/>
  <c r="F13" i="26"/>
  <c r="H14" i="26"/>
  <c r="F15" i="26"/>
  <c r="H16" i="26"/>
  <c r="F17" i="26"/>
  <c r="H18" i="26"/>
  <c r="F19" i="26"/>
  <c r="H20" i="26"/>
  <c r="H11" i="27"/>
  <c r="F12" i="27"/>
  <c r="H13" i="27"/>
  <c r="F14" i="27"/>
  <c r="H15" i="27"/>
  <c r="F16" i="27"/>
  <c r="H17" i="27"/>
  <c r="F18" i="27"/>
  <c r="H19" i="27"/>
  <c r="F20" i="27"/>
  <c r="F11" i="22"/>
  <c r="H12" i="22"/>
  <c r="F13" i="22"/>
  <c r="H14" i="22"/>
  <c r="F15" i="22"/>
  <c r="H16" i="22"/>
  <c r="F17" i="22"/>
  <c r="H18" i="22"/>
  <c r="F19" i="22"/>
  <c r="H20" i="22"/>
  <c r="H11" i="23"/>
  <c r="F12" i="23"/>
  <c r="H13" i="23"/>
  <c r="F14" i="23"/>
  <c r="H15" i="23"/>
  <c r="F16" i="23"/>
  <c r="H17" i="23"/>
  <c r="H19" i="23"/>
  <c r="F20" i="23"/>
  <c r="H13" i="21"/>
  <c r="H15" i="21"/>
  <c r="H11" i="21"/>
  <c r="H17" i="21"/>
  <c r="H19" i="21"/>
  <c r="G11" i="3"/>
  <c r="H11" i="3" s="1"/>
  <c r="E11" i="3"/>
  <c r="F11" i="3" s="1"/>
  <c r="H21" i="26" l="1"/>
  <c r="H22" i="26" s="1"/>
  <c r="H23" i="26" s="1"/>
  <c r="H21" i="24"/>
  <c r="H22" i="24" s="1"/>
  <c r="H23" i="24" s="1"/>
  <c r="F46" i="21"/>
  <c r="F46" i="23"/>
  <c r="H46" i="22"/>
  <c r="F46" i="27"/>
  <c r="F46" i="25"/>
  <c r="F46" i="29"/>
  <c r="H21" i="28"/>
  <c r="H22" i="28" s="1"/>
  <c r="H23" i="28" s="1"/>
  <c r="H46" i="29"/>
  <c r="H21" i="29"/>
  <c r="H22" i="29" s="1"/>
  <c r="H23" i="29" s="1"/>
  <c r="F21" i="29"/>
  <c r="F22" i="29" s="1"/>
  <c r="F23" i="29" s="1"/>
  <c r="H46" i="28"/>
  <c r="F21" i="28"/>
  <c r="F22" i="28" s="1"/>
  <c r="F23" i="28" s="1"/>
  <c r="F46" i="28"/>
  <c r="H46" i="26"/>
  <c r="F21" i="25"/>
  <c r="F22" i="25" s="1"/>
  <c r="F23" i="25" s="1"/>
  <c r="H46" i="25"/>
  <c r="H21" i="25"/>
  <c r="H22" i="25" s="1"/>
  <c r="H23" i="25" s="1"/>
  <c r="H46" i="27"/>
  <c r="H21" i="27"/>
  <c r="H22" i="27" s="1"/>
  <c r="H23" i="27" s="1"/>
  <c r="F21" i="27"/>
  <c r="F22" i="27" s="1"/>
  <c r="F23" i="27" s="1"/>
  <c r="H46" i="24"/>
  <c r="F21" i="26"/>
  <c r="F22" i="26" s="1"/>
  <c r="F23" i="26" s="1"/>
  <c r="F46" i="26"/>
  <c r="F21" i="24"/>
  <c r="F22" i="24" s="1"/>
  <c r="F23" i="24" s="1"/>
  <c r="F46" i="24"/>
  <c r="H46" i="23"/>
  <c r="H21" i="23"/>
  <c r="H22" i="23" s="1"/>
  <c r="H23" i="23" s="1"/>
  <c r="H21" i="22"/>
  <c r="H22" i="22" s="1"/>
  <c r="H23" i="22" s="1"/>
  <c r="F21" i="23"/>
  <c r="F22" i="23" s="1"/>
  <c r="F23" i="23" s="1"/>
  <c r="F46" i="22"/>
  <c r="F21" i="22"/>
  <c r="F22" i="22" s="1"/>
  <c r="F23" i="22" s="1"/>
  <c r="H46" i="21"/>
  <c r="H21" i="21"/>
  <c r="H22" i="21" s="1"/>
  <c r="H23" i="21" s="1"/>
  <c r="G20" i="3"/>
  <c r="H20" i="3" s="1"/>
  <c r="E20" i="3"/>
  <c r="F20" i="3" s="1"/>
  <c r="G19" i="3"/>
  <c r="H19" i="3" s="1"/>
  <c r="E19" i="3"/>
  <c r="F19" i="3" s="1"/>
  <c r="G18" i="3"/>
  <c r="H18" i="3" s="1"/>
  <c r="E18" i="3"/>
  <c r="F18" i="3" s="1"/>
  <c r="G17" i="3"/>
  <c r="H17" i="3" s="1"/>
  <c r="E17" i="3"/>
  <c r="F17" i="3" s="1"/>
  <c r="G16" i="3"/>
  <c r="H16" i="3" s="1"/>
  <c r="E16" i="3"/>
  <c r="F16" i="3" s="1"/>
  <c r="G15" i="3"/>
  <c r="H15" i="3" s="1"/>
  <c r="E15" i="3"/>
  <c r="F15" i="3" s="1"/>
  <c r="G14" i="3"/>
  <c r="H14" i="3" s="1"/>
  <c r="E14" i="3"/>
  <c r="F14" i="3" s="1"/>
  <c r="G13" i="3"/>
  <c r="H13" i="3" s="1"/>
  <c r="E13" i="3"/>
  <c r="F13" i="3" s="1"/>
  <c r="G12" i="3"/>
  <c r="H12" i="3" s="1"/>
  <c r="E12" i="3"/>
  <c r="F12" i="3" s="1"/>
  <c r="C5" i="13" l="1"/>
  <c r="E30" i="13" l="1"/>
  <c r="F30" i="13" s="1"/>
  <c r="C24" i="1" l="1"/>
  <c r="E24" i="1" s="1"/>
  <c r="C23" i="1"/>
  <c r="E23" i="1" s="1"/>
  <c r="C22" i="1"/>
  <c r="E22" i="1" s="1"/>
  <c r="C21" i="1"/>
  <c r="E21" i="1" s="1"/>
  <c r="C20" i="1"/>
  <c r="E20" i="1" s="1"/>
  <c r="C19" i="1"/>
  <c r="E19" i="1" s="1"/>
  <c r="C26" i="1" l="1"/>
  <c r="E26" i="1" s="1"/>
  <c r="C25" i="1"/>
  <c r="E25" i="1" s="1"/>
  <c r="D20" i="3" l="1"/>
  <c r="D19" i="3"/>
  <c r="D18" i="3"/>
  <c r="D17" i="3"/>
  <c r="D16" i="3"/>
  <c r="D15" i="3"/>
  <c r="D14" i="3"/>
  <c r="D13" i="3"/>
  <c r="D12" i="3"/>
  <c r="D11" i="3"/>
  <c r="C5" i="3"/>
  <c r="C7" i="3" s="1"/>
  <c r="C11" i="1" l="1"/>
  <c r="H46" i="3" l="1"/>
  <c r="H21" i="3"/>
  <c r="H22" i="3" s="1"/>
  <c r="H23" i="3" s="1"/>
  <c r="F46" i="3"/>
  <c r="F21" i="3"/>
  <c r="F22" i="3" s="1"/>
  <c r="F23" i="3" s="1"/>
  <c r="E29" i="13" l="1"/>
  <c r="F29" i="13" s="1"/>
  <c r="C21" i="13" l="1"/>
  <c r="D21" i="13" s="1"/>
  <c r="B21" i="13"/>
  <c r="E21" i="13" l="1"/>
  <c r="E25" i="13" s="1"/>
  <c r="C15" i="13" s="1"/>
  <c r="F21" i="13"/>
  <c r="E26" i="13" s="1"/>
  <c r="E18" i="1" l="1"/>
  <c r="C5" i="1"/>
  <c r="C13" i="1" s="1"/>
  <c r="D17" i="1" l="1"/>
  <c r="D18" i="1" l="1"/>
  <c r="D19" i="1"/>
  <c r="D20" i="1"/>
  <c r="D21" i="1"/>
  <c r="D22" i="1"/>
  <c r="D23" i="1"/>
  <c r="D24" i="1"/>
  <c r="D25" i="1"/>
  <c r="D26" i="1"/>
  <c r="B2" i="2" l="1"/>
  <c r="E17" i="1" s="1"/>
  <c r="E27" i="1" l="1"/>
  <c r="E54" i="1" s="1"/>
  <c r="E28" i="1" l="1"/>
  <c r="E2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Tim Sundby</author>
  </authors>
  <commentList>
    <comment ref="C7" authorId="0" shapeId="0" xr:uid="{00000000-0006-0000-0000-000001000000}">
      <text>
        <r>
          <rPr>
            <b/>
            <sz val="12"/>
            <color indexed="81"/>
            <rFont val="Tahoma"/>
            <family val="2"/>
          </rPr>
          <t>Total area of the project site.</t>
        </r>
      </text>
    </comment>
    <comment ref="C9" authorId="0" shapeId="0" xr:uid="{00000000-0006-0000-0000-000002000000}">
      <text>
        <r>
          <rPr>
            <b/>
            <sz val="12"/>
            <color indexed="81"/>
            <rFont val="Tahoma"/>
            <family val="2"/>
          </rPr>
          <t xml:space="preserve">Total area that has a qualifying restriction. </t>
        </r>
      </text>
    </comment>
  </commentList>
</comments>
</file>

<file path=xl/sharedStrings.xml><?xml version="1.0" encoding="utf-8"?>
<sst xmlns="http://schemas.openxmlformats.org/spreadsheetml/2006/main" count="411" uniqueCount="75">
  <si>
    <t>Select BMP</t>
  </si>
  <si>
    <t>Volume Reduction Credit</t>
  </si>
  <si>
    <t>TP Credit</t>
  </si>
  <si>
    <t>TSS Credit</t>
  </si>
  <si>
    <t>Unit</t>
  </si>
  <si>
    <t>Cubic Feet</t>
  </si>
  <si>
    <t>(Enter Cubic Feet Here)</t>
  </si>
  <si>
    <t>Amended Soil (Square Feet)</t>
  </si>
  <si>
    <t>Square Feet</t>
  </si>
  <si>
    <t>(Enter Square Feet Here)</t>
  </si>
  <si>
    <t>*NOTE - .5" over ammended area</t>
  </si>
  <si>
    <t>Impervious Area (SQ FT)</t>
  </si>
  <si>
    <t>Volume to be Retained</t>
  </si>
  <si>
    <t>Water Quality Volume</t>
  </si>
  <si>
    <t>Select BMP (Drop down)</t>
  </si>
  <si>
    <t>BMP Details (Volume, Area)</t>
  </si>
  <si>
    <t>Units</t>
  </si>
  <si>
    <t>Total Volume Treated</t>
  </si>
  <si>
    <t>Percent of Requirement</t>
  </si>
  <si>
    <t>INPUT CELLS</t>
  </si>
  <si>
    <t>CALCULATION CELLS</t>
  </si>
  <si>
    <t>RESULTS CELLS</t>
  </si>
  <si>
    <t>(Enter BMP Details Here)</t>
  </si>
  <si>
    <t>Volume
Reduction</t>
  </si>
  <si>
    <t>Do BMPS have enough Capacity?</t>
  </si>
  <si>
    <t>TP Quality Treatment Volume</t>
  </si>
  <si>
    <t>TSS Quality Treatment Volume</t>
  </si>
  <si>
    <t>Impervious Area (Acre)</t>
  </si>
  <si>
    <t>TP Treatment</t>
  </si>
  <si>
    <t>TSS Treatment</t>
  </si>
  <si>
    <t>Subwatershed Model Label</t>
  </si>
  <si>
    <t>Irrigation Rate (1-2 inches/week)</t>
  </si>
  <si>
    <t>Irrigation Area (Sq Ft)</t>
  </si>
  <si>
    <t>Limiting Criteria</t>
  </si>
  <si>
    <t>Area Required (SQ FT)</t>
  </si>
  <si>
    <t>Minimum Pond Irrigation Storage (cf)</t>
  </si>
  <si>
    <t>Minimum Tank Irrigation Storage (cf)</t>
  </si>
  <si>
    <t>Meeting Minimum Pond Storage</t>
  </si>
  <si>
    <t>Meeting Minimum Tank Storage</t>
  </si>
  <si>
    <t>Pond Storage (cf)</t>
  </si>
  <si>
    <t>Tank Storage (cf)</t>
  </si>
  <si>
    <t>Volume
Reduction (cf)</t>
  </si>
  <si>
    <t>Sq Ft</t>
  </si>
  <si>
    <t>Maximum Irrigation Area based upon Pond Size</t>
  </si>
  <si>
    <t>Maximum Irrigation Area based upon Tank Size</t>
  </si>
  <si>
    <t>Project Name</t>
  </si>
  <si>
    <t>Volume credit</t>
  </si>
  <si>
    <t>BMP ID#</t>
  </si>
  <si>
    <t>Bioretention &gt;3' Seperation (Cubic Feet)</t>
  </si>
  <si>
    <t>Bioretention &lt;3' Seperation (Cubic Feet)</t>
  </si>
  <si>
    <t>Total Impervious Area (Acre)</t>
  </si>
  <si>
    <t>Extra Storage</t>
  </si>
  <si>
    <t>Extra Credit</t>
  </si>
  <si>
    <t>Bioretention Swale (Cubic Feet)</t>
  </si>
  <si>
    <t>Disconnecting Impervious Surface (Square Feet)</t>
  </si>
  <si>
    <t>Hydrodynamic Separator (Square Feet)</t>
  </si>
  <si>
    <t>Stormwater Reuse (Square Feet)</t>
  </si>
  <si>
    <t>Pervious Pavement (Cubic Feet)</t>
  </si>
  <si>
    <t>Iron Enhanced Sand Filter with &lt;3' Seperation (Cubic Feet)</t>
  </si>
  <si>
    <t>Iron Enhanced Sand Filter with &gt;3' Seperation (Cubic Feet)</t>
  </si>
  <si>
    <t>Total Area (Acre)</t>
  </si>
  <si>
    <t>Constrained Area (Acre)</t>
  </si>
  <si>
    <t>Constrained Site</t>
  </si>
  <si>
    <t>Final Credit</t>
  </si>
  <si>
    <t>Pond NURP (Cubic Feet)</t>
  </si>
  <si>
    <t>Pond MN Stormwater Manual (Cubic Feet)</t>
  </si>
  <si>
    <t>Pond NURP with Filtration (Cubic Feet)</t>
  </si>
  <si>
    <t>Pond MN Stormwater Manual with Filtration (Cubic Feet)</t>
  </si>
  <si>
    <t>Infiltration (Cubic Feet)</t>
  </si>
  <si>
    <t>Underground Storage (Cubic Feet)</t>
  </si>
  <si>
    <t>Rock Storage (Cubic Feet)</t>
  </si>
  <si>
    <t>Preserved/restored, Prairie (Square Feet)</t>
  </si>
  <si>
    <t>Preserved/restored, Floodplain Prairie (Square Feet)</t>
  </si>
  <si>
    <t>Preserved/restored, Floodplain Woodland (Square Feet)</t>
  </si>
  <si>
    <t>Preserved/restored, Woodland (Square Feet)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</si>
</sst>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3F3F76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2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 style="thin">
        <color indexed="64"/>
      </right>
      <top style="thin">
        <color rgb="FF7F7F7F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/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7F7F7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rgb="FF7F7F7F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rgb="FF7F7F7F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2" borderId="1" applyNumberFormat="0" applyAlignment="0" applyProtection="0"/>
    <xf numFmtId="0" fontId="2" fillId="3" borderId="1" applyNumberFormat="0" applyAlignment="0" applyProtection="0"/>
    <xf numFmtId="0" fontId="3" fillId="4" borderId="2" applyNumberFormat="0" applyAlignment="0" applyProtection="0"/>
  </cellStyleXfs>
  <cellXfs count="92">
    <xf numFmtId="0" fontId="0" fillId="0" borderId="0" xfId="0"/>
    <xf numFmtId="10" fontId="0" fillId="0" borderId="0" xfId="0" applyNumberFormat="1"/>
    <xf numFmtId="0" fontId="4" fillId="5" borderId="0" xfId="0" applyFont="1" applyFill="1" applyAlignment="1">
      <alignment horizontal="left" vertical="center"/>
    </xf>
    <xf numFmtId="3" fontId="0" fillId="0" borderId="0" xfId="0" applyNumberFormat="1" applyAlignment="1">
      <alignment horizontal="left"/>
    </xf>
    <xf numFmtId="0" fontId="4" fillId="5" borderId="3" xfId="0" applyFont="1" applyFill="1" applyBorder="1"/>
    <xf numFmtId="3" fontId="2" fillId="3" borderId="1" xfId="2" applyNumberFormat="1" applyAlignment="1" applyProtection="1">
      <alignment horizontal="center"/>
      <protection hidden="1"/>
    </xf>
    <xf numFmtId="0" fontId="4" fillId="6" borderId="0" xfId="0" applyFont="1" applyFill="1" applyBorder="1"/>
    <xf numFmtId="3" fontId="0" fillId="6" borderId="0" xfId="0" applyNumberFormat="1" applyFill="1" applyBorder="1" applyAlignment="1">
      <alignment horizontal="center"/>
    </xf>
    <xf numFmtId="0" fontId="1" fillId="2" borderId="6" xfId="1" applyBorder="1" applyAlignment="1" applyProtection="1">
      <alignment horizontal="center"/>
      <protection locked="0"/>
    </xf>
    <xf numFmtId="3" fontId="1" fillId="2" borderId="1" xfId="1" applyNumberFormat="1" applyBorder="1" applyAlignment="1" applyProtection="1">
      <alignment horizontal="center"/>
      <protection locked="0" hidden="1"/>
    </xf>
    <xf numFmtId="0" fontId="1" fillId="2" borderId="8" xfId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3" fillId="4" borderId="2" xfId="3" applyAlignment="1" applyProtection="1">
      <alignment horizontal="center" wrapText="1"/>
      <protection hidden="1"/>
    </xf>
    <xf numFmtId="0" fontId="3" fillId="4" borderId="2" xfId="3" applyAlignment="1" applyProtection="1">
      <alignment horizontal="center"/>
      <protection hidden="1"/>
    </xf>
    <xf numFmtId="0" fontId="3" fillId="4" borderId="2" xfId="3" applyAlignment="1" applyProtection="1">
      <alignment horizontal="center" vertical="center"/>
      <protection hidden="1"/>
    </xf>
    <xf numFmtId="0" fontId="6" fillId="3" borderId="1" xfId="2" applyFont="1" applyAlignment="1">
      <alignment horizontal="center" vertical="center"/>
    </xf>
    <xf numFmtId="0" fontId="7" fillId="4" borderId="2" xfId="3" applyFont="1" applyAlignment="1">
      <alignment horizontal="center" vertical="center"/>
    </xf>
    <xf numFmtId="3" fontId="1" fillId="2" borderId="9" xfId="1" applyNumberFormat="1" applyBorder="1" applyAlignment="1" applyProtection="1">
      <alignment horizontal="center"/>
      <protection locked="0" hidden="1"/>
    </xf>
    <xf numFmtId="0" fontId="4" fillId="5" borderId="4" xfId="0" applyFont="1" applyFill="1" applyBorder="1" applyAlignment="1" applyProtection="1">
      <alignment horizontal="center" vertical="center" wrapText="1"/>
      <protection hidden="1"/>
    </xf>
    <xf numFmtId="0" fontId="4" fillId="5" borderId="5" xfId="0" applyFont="1" applyFill="1" applyBorder="1" applyAlignment="1" applyProtection="1">
      <alignment horizontal="center" vertical="center" wrapText="1"/>
      <protection hidden="1"/>
    </xf>
    <xf numFmtId="9" fontId="3" fillId="4" borderId="2" xfId="3" applyNumberFormat="1" applyAlignment="1" applyProtection="1">
      <alignment horizontal="center" vertical="center"/>
      <protection hidden="1"/>
    </xf>
    <xf numFmtId="0" fontId="4" fillId="0" borderId="0" xfId="0" applyFont="1" applyFill="1" applyAlignment="1">
      <alignment horizontal="left" vertical="center"/>
    </xf>
    <xf numFmtId="0" fontId="0" fillId="0" borderId="0" xfId="0" applyFill="1"/>
    <xf numFmtId="4" fontId="1" fillId="0" borderId="0" xfId="1" applyNumberFormat="1" applyFill="1" applyBorder="1" applyAlignment="1" applyProtection="1">
      <alignment horizontal="center" vertical="center" wrapText="1"/>
      <protection locked="0"/>
    </xf>
    <xf numFmtId="4" fontId="1" fillId="2" borderId="7" xfId="1" applyNumberFormat="1" applyBorder="1" applyAlignment="1" applyProtection="1">
      <alignment horizontal="center" vertical="center" wrapText="1"/>
      <protection locked="0"/>
    </xf>
    <xf numFmtId="3" fontId="2" fillId="3" borderId="7" xfId="2" applyNumberFormat="1" applyBorder="1" applyAlignment="1" applyProtection="1">
      <alignment horizontal="center"/>
      <protection hidden="1"/>
    </xf>
    <xf numFmtId="3" fontId="3" fillId="4" borderId="10" xfId="3" applyNumberFormat="1" applyBorder="1" applyAlignment="1" applyProtection="1">
      <alignment horizontal="center" vertical="center"/>
      <protection hidden="1"/>
    </xf>
    <xf numFmtId="3" fontId="2" fillId="3" borderId="11" xfId="2" applyNumberFormat="1" applyBorder="1" applyAlignment="1" applyProtection="1">
      <alignment horizontal="center"/>
      <protection hidden="1"/>
    </xf>
    <xf numFmtId="9" fontId="2" fillId="3" borderId="11" xfId="2" applyNumberFormat="1" applyBorder="1" applyAlignment="1" applyProtection="1">
      <alignment horizontal="center"/>
      <protection hidden="1"/>
    </xf>
    <xf numFmtId="0" fontId="0" fillId="0" borderId="12" xfId="0" applyBorder="1" applyAlignment="1" applyProtection="1">
      <alignment horizontal="center"/>
      <protection hidden="1"/>
    </xf>
    <xf numFmtId="9" fontId="2" fillId="3" borderId="13" xfId="2" applyNumberFormat="1" applyBorder="1" applyAlignment="1" applyProtection="1">
      <alignment horizontal="center"/>
      <protection hidden="1"/>
    </xf>
    <xf numFmtId="0" fontId="3" fillId="4" borderId="10" xfId="3" applyBorder="1" applyAlignment="1" applyProtection="1">
      <alignment horizontal="center" wrapText="1"/>
      <protection hidden="1"/>
    </xf>
    <xf numFmtId="0" fontId="4" fillId="5" borderId="14" xfId="0" applyFont="1" applyFill="1" applyBorder="1" applyAlignment="1" applyProtection="1">
      <alignment horizontal="center" vertical="center" wrapText="1"/>
      <protection hidden="1"/>
    </xf>
    <xf numFmtId="3" fontId="2" fillId="3" borderId="15" xfId="2" applyNumberFormat="1" applyBorder="1" applyAlignment="1" applyProtection="1">
      <alignment horizontal="center"/>
      <protection hidden="1"/>
    </xf>
    <xf numFmtId="0" fontId="0" fillId="0" borderId="16" xfId="0" applyBorder="1" applyAlignment="1" applyProtection="1">
      <alignment horizontal="center"/>
      <protection hidden="1"/>
    </xf>
    <xf numFmtId="9" fontId="2" fillId="3" borderId="17" xfId="2" applyNumberFormat="1" applyBorder="1" applyAlignment="1" applyProtection="1">
      <alignment horizontal="center"/>
      <protection hidden="1"/>
    </xf>
    <xf numFmtId="3" fontId="2" fillId="3" borderId="18" xfId="2" applyNumberFormat="1" applyBorder="1" applyAlignment="1" applyProtection="1">
      <alignment horizontal="center"/>
      <protection hidden="1"/>
    </xf>
    <xf numFmtId="3" fontId="2" fillId="0" borderId="0" xfId="2" applyNumberFormat="1" applyFill="1" applyBorder="1" applyAlignment="1" applyProtection="1">
      <alignment horizontal="center"/>
      <protection hidden="1"/>
    </xf>
    <xf numFmtId="3" fontId="1" fillId="2" borderId="7" xfId="1" applyNumberFormat="1" applyBorder="1" applyAlignment="1" applyProtection="1">
      <alignment horizontal="center" vertical="center" wrapText="1"/>
      <protection locked="0"/>
    </xf>
    <xf numFmtId="3" fontId="2" fillId="3" borderId="17" xfId="2" applyNumberFormat="1" applyFont="1" applyBorder="1" applyAlignment="1" applyProtection="1">
      <alignment horizontal="center" vertical="center"/>
      <protection hidden="1"/>
    </xf>
    <xf numFmtId="3" fontId="2" fillId="3" borderId="24" xfId="2" applyNumberFormat="1" applyFont="1" applyBorder="1" applyAlignment="1" applyProtection="1">
      <alignment horizontal="center" vertical="center"/>
      <protection hidden="1"/>
    </xf>
    <xf numFmtId="3" fontId="2" fillId="3" borderId="27" xfId="2" applyNumberFormat="1" applyFont="1" applyBorder="1" applyAlignment="1" applyProtection="1">
      <alignment horizontal="center" vertical="center"/>
      <protection hidden="1"/>
    </xf>
    <xf numFmtId="0" fontId="1" fillId="2" borderId="34" xfId="1" applyBorder="1" applyAlignment="1" applyProtection="1">
      <alignment horizontal="center"/>
      <protection locked="0"/>
    </xf>
    <xf numFmtId="9" fontId="0" fillId="0" borderId="0" xfId="0" applyNumberFormat="1"/>
    <xf numFmtId="9" fontId="2" fillId="3" borderId="35" xfId="2" applyNumberFormat="1" applyBorder="1" applyAlignment="1" applyProtection="1">
      <alignment horizontal="center"/>
      <protection hidden="1"/>
    </xf>
    <xf numFmtId="0" fontId="5" fillId="2" borderId="1" xfId="1" applyFont="1" applyAlignment="1" applyProtection="1">
      <alignment horizontal="center" vertical="center"/>
    </xf>
    <xf numFmtId="0" fontId="9" fillId="7" borderId="28" xfId="0" applyFont="1" applyFill="1" applyBorder="1" applyProtection="1"/>
    <xf numFmtId="0" fontId="0" fillId="0" borderId="0" xfId="0" applyProtection="1"/>
    <xf numFmtId="0" fontId="4" fillId="5" borderId="0" xfId="0" applyFont="1" applyFill="1" applyAlignment="1" applyProtection="1">
      <alignment horizontal="left" vertical="center"/>
    </xf>
    <xf numFmtId="0" fontId="4" fillId="0" borderId="0" xfId="0" applyFont="1" applyFill="1" applyAlignment="1" applyProtection="1">
      <alignment horizontal="left" vertical="center"/>
    </xf>
    <xf numFmtId="4" fontId="1" fillId="0" borderId="0" xfId="1" applyNumberFormat="1" applyFill="1" applyBorder="1" applyAlignment="1" applyProtection="1">
      <alignment horizontal="center" vertical="center" wrapText="1"/>
    </xf>
    <xf numFmtId="0" fontId="0" fillId="0" borderId="0" xfId="0" applyFill="1" applyProtection="1"/>
    <xf numFmtId="3" fontId="0" fillId="0" borderId="0" xfId="0" applyNumberFormat="1" applyAlignment="1" applyProtection="1">
      <alignment horizontal="left"/>
    </xf>
    <xf numFmtId="0" fontId="4" fillId="5" borderId="3" xfId="0" applyFont="1" applyFill="1" applyBorder="1" applyProtection="1"/>
    <xf numFmtId="0" fontId="4" fillId="6" borderId="0" xfId="0" applyFont="1" applyFill="1" applyBorder="1" applyProtection="1"/>
    <xf numFmtId="3" fontId="0" fillId="6" borderId="0" xfId="0" applyNumberFormat="1" applyFill="1" applyBorder="1" applyAlignment="1" applyProtection="1">
      <alignment horizontal="center"/>
    </xf>
    <xf numFmtId="3" fontId="0" fillId="0" borderId="0" xfId="0" applyNumberFormat="1" applyProtection="1"/>
    <xf numFmtId="0" fontId="4" fillId="5" borderId="3" xfId="0" applyFont="1" applyFill="1" applyBorder="1" applyAlignment="1" applyProtection="1">
      <alignment horizontal="center" vertical="center" wrapText="1"/>
    </xf>
    <xf numFmtId="0" fontId="4" fillId="5" borderId="22" xfId="0" applyFont="1" applyFill="1" applyBorder="1" applyAlignment="1" applyProtection="1">
      <alignment horizontal="center" vertical="center" wrapText="1"/>
    </xf>
    <xf numFmtId="3" fontId="1" fillId="2" borderId="17" xfId="1" applyNumberFormat="1" applyFont="1" applyBorder="1" applyAlignment="1" applyProtection="1">
      <alignment horizontal="center"/>
      <protection hidden="1"/>
    </xf>
    <xf numFmtId="0" fontId="8" fillId="0" borderId="0" xfId="0" applyFont="1" applyProtection="1"/>
    <xf numFmtId="0" fontId="1" fillId="0" borderId="0" xfId="1" applyFill="1" applyBorder="1" applyAlignment="1" applyProtection="1">
      <alignment horizontal="center"/>
    </xf>
    <xf numFmtId="3" fontId="1" fillId="0" borderId="0" xfId="1" applyNumberFormat="1" applyFill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</xf>
    <xf numFmtId="0" fontId="0" fillId="0" borderId="31" xfId="0" applyBorder="1" applyAlignment="1" applyProtection="1">
      <alignment horizontal="center"/>
    </xf>
    <xf numFmtId="0" fontId="0" fillId="0" borderId="30" xfId="0" applyBorder="1" applyAlignment="1" applyProtection="1">
      <alignment horizontal="center"/>
    </xf>
    <xf numFmtId="3" fontId="0" fillId="0" borderId="0" xfId="0" applyNumberFormat="1" applyFill="1" applyBorder="1" applyAlignment="1" applyProtection="1">
      <alignment horizontal="center"/>
    </xf>
    <xf numFmtId="3" fontId="0" fillId="0" borderId="23" xfId="0" applyNumberFormat="1" applyBorder="1" applyAlignment="1" applyProtection="1">
      <alignment horizontal="center"/>
    </xf>
    <xf numFmtId="3" fontId="0" fillId="0" borderId="25" xfId="0" applyNumberFormat="1" applyFill="1" applyBorder="1" applyAlignment="1" applyProtection="1">
      <alignment horizontal="center"/>
    </xf>
    <xf numFmtId="3" fontId="0" fillId="0" borderId="26" xfId="0" applyNumberFormat="1" applyBorder="1" applyAlignment="1" applyProtection="1">
      <alignment horizontal="center"/>
    </xf>
    <xf numFmtId="0" fontId="0" fillId="0" borderId="0" xfId="0" applyFill="1" applyBorder="1" applyProtection="1"/>
    <xf numFmtId="0" fontId="4" fillId="0" borderId="0" xfId="0" applyFont="1" applyFill="1" applyBorder="1" applyProtection="1"/>
    <xf numFmtId="0" fontId="6" fillId="3" borderId="1" xfId="2" applyFont="1" applyAlignment="1" applyProtection="1">
      <alignment horizontal="center" vertical="center"/>
    </xf>
    <xf numFmtId="0" fontId="7" fillId="4" borderId="2" xfId="3" applyFont="1" applyAlignment="1" applyProtection="1">
      <alignment horizontal="center" vertical="center"/>
    </xf>
    <xf numFmtId="0" fontId="9" fillId="7" borderId="29" xfId="0" applyFont="1" applyFill="1" applyBorder="1" applyProtection="1">
      <protection locked="0"/>
    </xf>
    <xf numFmtId="0" fontId="0" fillId="0" borderId="0" xfId="0" applyBorder="1" applyProtection="1"/>
    <xf numFmtId="3" fontId="1" fillId="2" borderId="1" xfId="1" applyNumberFormat="1" applyBorder="1" applyAlignment="1" applyProtection="1">
      <alignment horizontal="center"/>
      <protection locked="0"/>
    </xf>
    <xf numFmtId="3" fontId="1" fillId="2" borderId="24" xfId="1" applyNumberFormat="1" applyBorder="1" applyAlignment="1" applyProtection="1">
      <alignment horizontal="center"/>
      <protection locked="0"/>
    </xf>
    <xf numFmtId="3" fontId="3" fillId="4" borderId="2" xfId="3" applyNumberFormat="1" applyAlignment="1" applyProtection="1">
      <alignment horizontal="center"/>
      <protection hidden="1"/>
    </xf>
    <xf numFmtId="0" fontId="3" fillId="0" borderId="0" xfId="3" applyFill="1" applyBorder="1" applyAlignment="1" applyProtection="1">
      <alignment horizontal="center"/>
      <protection hidden="1"/>
    </xf>
    <xf numFmtId="3" fontId="3" fillId="0" borderId="0" xfId="3" applyNumberFormat="1" applyFill="1" applyBorder="1" applyAlignment="1" applyProtection="1">
      <alignment horizontal="center"/>
      <protection hidden="1"/>
    </xf>
    <xf numFmtId="3" fontId="10" fillId="2" borderId="7" xfId="1" applyNumberFormat="1" applyFont="1" applyBorder="1" applyAlignment="1" applyProtection="1">
      <alignment horizontal="center" vertical="center" wrapText="1"/>
      <protection locked="0"/>
    </xf>
    <xf numFmtId="0" fontId="11" fillId="5" borderId="3" xfId="0" applyFont="1" applyFill="1" applyBorder="1" applyAlignment="1" applyProtection="1">
      <alignment horizontal="center" vertical="center"/>
    </xf>
    <xf numFmtId="3" fontId="2" fillId="3" borderId="17" xfId="2" applyNumberFormat="1" applyBorder="1" applyAlignment="1" applyProtection="1">
      <alignment horizontal="center"/>
      <protection hidden="1"/>
    </xf>
    <xf numFmtId="0" fontId="3" fillId="4" borderId="20" xfId="3" applyBorder="1" applyAlignment="1" applyProtection="1">
      <alignment horizontal="center" vertical="center"/>
      <protection hidden="1"/>
    </xf>
    <xf numFmtId="0" fontId="3" fillId="4" borderId="21" xfId="3" applyBorder="1" applyAlignment="1" applyProtection="1">
      <alignment horizontal="center" vertical="center"/>
      <protection hidden="1"/>
    </xf>
    <xf numFmtId="0" fontId="0" fillId="0" borderId="3" xfId="0" applyFill="1" applyBorder="1" applyAlignment="1" applyProtection="1">
      <alignment horizontal="center"/>
    </xf>
    <xf numFmtId="0" fontId="0" fillId="0" borderId="30" xfId="0" applyFill="1" applyBorder="1" applyAlignment="1" applyProtection="1">
      <alignment horizontal="center"/>
    </xf>
    <xf numFmtId="0" fontId="0" fillId="0" borderId="19" xfId="0" applyFill="1" applyBorder="1" applyAlignment="1" applyProtection="1">
      <alignment horizontal="center"/>
    </xf>
    <xf numFmtId="0" fontId="0" fillId="0" borderId="32" xfId="0" applyFill="1" applyBorder="1" applyAlignment="1" applyProtection="1">
      <alignment horizontal="center"/>
    </xf>
    <xf numFmtId="0" fontId="0" fillId="0" borderId="33" xfId="0" applyFill="1" applyBorder="1" applyAlignment="1" applyProtection="1">
      <alignment horizontal="center"/>
    </xf>
    <xf numFmtId="0" fontId="0" fillId="0" borderId="26" xfId="0" applyFill="1" applyBorder="1" applyAlignment="1" applyProtection="1">
      <alignment horizontal="center"/>
    </xf>
  </cellXfs>
  <cellStyles count="4">
    <cellStyle name="Calculation" xfId="2" builtinId="22"/>
    <cellStyle name="Check Cell" xfId="3" builtinId="23"/>
    <cellStyle name="Input" xfId="1" builtinId="20"/>
    <cellStyle name="Normal" xfId="0" builtinId="0"/>
  </cellStyles>
  <dxfs count="69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 tint="0.24994659260841701"/>
      </font>
      <fill>
        <patternFill>
          <bgColor theme="0" tint="-0.49998474074526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C61185D1-40B2-4E0C-BEDE-4751D46A8AC6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59999389629810485"/>
  </sheetPr>
  <dimension ref="A3:I54"/>
  <sheetViews>
    <sheetView zoomScale="80" zoomScaleNormal="80" workbookViewId="0">
      <selection activeCell="B17" sqref="B17"/>
    </sheetView>
  </sheetViews>
  <sheetFormatPr defaultRowHeight="15" x14ac:dyDescent="0.25"/>
  <cols>
    <col min="1" max="1" width="11.7109375" customWidth="1"/>
    <col min="2" max="2" width="49.7109375" customWidth="1"/>
    <col min="3" max="3" width="32.85546875" bestFit="1" customWidth="1"/>
    <col min="4" max="4" width="39.5703125" customWidth="1"/>
    <col min="5" max="5" width="18.7109375" customWidth="1"/>
  </cols>
  <sheetData>
    <row r="3" spans="1:5" x14ac:dyDescent="0.25">
      <c r="B3" s="2" t="s">
        <v>50</v>
      </c>
      <c r="C3" s="24">
        <v>0</v>
      </c>
    </row>
    <row r="4" spans="1:5" s="22" customFormat="1" ht="4.5" customHeight="1" x14ac:dyDescent="0.25">
      <c r="B4" s="21"/>
      <c r="C4" s="23"/>
    </row>
    <row r="5" spans="1:5" x14ac:dyDescent="0.25">
      <c r="B5" s="2" t="s">
        <v>11</v>
      </c>
      <c r="C5" s="25">
        <f>C3*43560</f>
        <v>0</v>
      </c>
    </row>
    <row r="6" spans="1:5" ht="4.5" customHeight="1" x14ac:dyDescent="0.25">
      <c r="B6" s="21"/>
      <c r="C6" s="37"/>
    </row>
    <row r="7" spans="1:5" x14ac:dyDescent="0.25">
      <c r="B7" s="2" t="s">
        <v>60</v>
      </c>
      <c r="C7" s="24">
        <v>0</v>
      </c>
    </row>
    <row r="8" spans="1:5" ht="4.5" customHeight="1" x14ac:dyDescent="0.25">
      <c r="B8" s="47"/>
      <c r="C8" s="37"/>
    </row>
    <row r="9" spans="1:5" x14ac:dyDescent="0.25">
      <c r="B9" s="2" t="s">
        <v>61</v>
      </c>
      <c r="C9" s="24">
        <v>0</v>
      </c>
    </row>
    <row r="10" spans="1:5" ht="5.0999999999999996" customHeight="1" thickBot="1" x14ac:dyDescent="0.3">
      <c r="C10" s="3"/>
    </row>
    <row r="11" spans="1:5" ht="15.75" thickBot="1" x14ac:dyDescent="0.3">
      <c r="B11" s="4" t="s">
        <v>62</v>
      </c>
      <c r="C11" s="5" t="e">
        <f>IF(C9/C7&lt;0.5,"No","Yes")</f>
        <v>#DIV/0!</v>
      </c>
    </row>
    <row r="12" spans="1:5" ht="5.0999999999999996" customHeight="1" thickBot="1" x14ac:dyDescent="0.3">
      <c r="B12" s="6"/>
      <c r="C12" s="7"/>
    </row>
    <row r="13" spans="1:5" ht="15.75" thickBot="1" x14ac:dyDescent="0.3">
      <c r="B13" s="4" t="s">
        <v>12</v>
      </c>
      <c r="C13" s="5" t="e">
        <f>IF(ISERROR($C$5*0.5*SUM(1/12)),"",IF(C11="Yes",$C$5*0.5*SUM(1/12),$C$5*1*SUM(1/12)))</f>
        <v>#DIV/0!</v>
      </c>
    </row>
    <row r="15" spans="1:5" ht="15.75" thickBot="1" x14ac:dyDescent="0.3"/>
    <row r="16" spans="1:5" ht="30" x14ac:dyDescent="0.25">
      <c r="A16" s="32" t="s">
        <v>47</v>
      </c>
      <c r="B16" s="32" t="s">
        <v>14</v>
      </c>
      <c r="C16" s="18" t="s">
        <v>15</v>
      </c>
      <c r="D16" s="18" t="s">
        <v>16</v>
      </c>
      <c r="E16" s="19" t="s">
        <v>23</v>
      </c>
    </row>
    <row r="17" spans="1:5" ht="15" customHeight="1" x14ac:dyDescent="0.25">
      <c r="A17" s="8"/>
      <c r="B17" s="9" t="s">
        <v>0</v>
      </c>
      <c r="C17" s="76" t="str">
        <f>IF(B17="Stormwater Reuse (Square Feet)",IF('Stormwater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Calculations'!$E$30))),(VLOOKUP(B17,'BMP List'!$A:$F,6,FALSE)))</f>
        <v>(Enter BMP Details Here)</v>
      </c>
      <c r="D17" s="29" t="str">
        <f>VLOOKUP(B17,'BMP List'!$A:$E,5,FALSE)</f>
        <v>Unit</v>
      </c>
      <c r="E17" s="33" t="str">
        <f>IF(B17="Stormwater Reuse (Square Feet)",'Stormwater Reuse Calculations'!$C$15,IF(ISERROR((VLOOKUP($B17,'BMP List'!A:B,2,FALSE)*$C17)),"",(VLOOKUP($B17,'BMP List'!A:B,2,FALSE)*$C17)))</f>
        <v/>
      </c>
    </row>
    <row r="18" spans="1:5" x14ac:dyDescent="0.25">
      <c r="A18" s="8"/>
      <c r="B18" s="9" t="s">
        <v>0</v>
      </c>
      <c r="C18" s="76" t="str">
        <f>IF(B18="Stormwater Reuse (Square Feet)",IF('Stormwater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Calculations'!$E$30))),(VLOOKUP(B18,'BMP List'!$A:$F,6,FALSE)))</f>
        <v>(Enter BMP Details Here)</v>
      </c>
      <c r="D18" s="29" t="str">
        <f>VLOOKUP(B18,'BMP List'!$A:$E,5,FALSE)</f>
        <v>Unit</v>
      </c>
      <c r="E18" s="33" t="str">
        <f>IF(B18="Stormwater Reuse (Square Feet)",'Stormwater Reuse Calculations'!$C$15,IF(ISERROR((VLOOKUP($B18,'BMP List'!A:B,2,FALSE)*$C18)),"",(VLOOKUP($B18,'BMP List'!A:B,2,FALSE)*$C18)))</f>
        <v/>
      </c>
    </row>
    <row r="19" spans="1:5" ht="15" customHeight="1" x14ac:dyDescent="0.25">
      <c r="A19" s="8"/>
      <c r="B19" s="9" t="s">
        <v>0</v>
      </c>
      <c r="C19" s="76" t="str">
        <f>IF(B19="Stormwater Reuse (Square Feet)",IF('Stormwater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Calculations'!$E$30))),(VLOOKUP(B19,'BMP List'!$A:$F,6,FALSE)))</f>
        <v>(Enter BMP Details Here)</v>
      </c>
      <c r="D19" s="29" t="str">
        <f>VLOOKUP(B19,'BMP List'!$A:$E,5,FALSE)</f>
        <v>Unit</v>
      </c>
      <c r="E19" s="33" t="str">
        <f>IF(B19="Stormwater Reuse (Square Feet)",'Stormwater Reuse Calculations'!$C$15,IF(ISERROR((VLOOKUP($B19,'BMP List'!A:B,2,FALSE)*$C19)),"",(VLOOKUP($B19,'BMP List'!A:B,2,FALSE)*$C19)))</f>
        <v/>
      </c>
    </row>
    <row r="20" spans="1:5" x14ac:dyDescent="0.25">
      <c r="A20" s="8"/>
      <c r="B20" s="9" t="s">
        <v>0</v>
      </c>
      <c r="C20" s="76" t="str">
        <f>IF(B20="Stormwater Reuse (Square Feet)",IF('Stormwater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Calculations'!$E$30))),(VLOOKUP(B20,'BMP List'!$A:$F,6,FALSE)))</f>
        <v>(Enter BMP Details Here)</v>
      </c>
      <c r="D20" s="29" t="str">
        <f>VLOOKUP(B20,'BMP List'!$A:$E,5,FALSE)</f>
        <v>Unit</v>
      </c>
      <c r="E20" s="33" t="str">
        <f>IF(B20="Stormwater Reuse (Square Feet)",'Stormwater Reuse Calculations'!$C$15,IF(ISERROR((VLOOKUP($B20,'BMP List'!A:B,2,FALSE)*$C20)),"",(VLOOKUP($B20,'BMP List'!A:B,2,FALSE)*$C20)))</f>
        <v/>
      </c>
    </row>
    <row r="21" spans="1:5" x14ac:dyDescent="0.25">
      <c r="A21" s="8"/>
      <c r="B21" s="9" t="s">
        <v>0</v>
      </c>
      <c r="C21" s="76" t="str">
        <f>IF(B21="Stormwater Reuse (Square Feet)",IF('Stormwater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Calculations'!$E$30))),(VLOOKUP(B21,'BMP List'!$A:$F,6,FALSE)))</f>
        <v>(Enter BMP Details Here)</v>
      </c>
      <c r="D21" s="29" t="str">
        <f>VLOOKUP(B21,'BMP List'!$A:$E,5,FALSE)</f>
        <v>Unit</v>
      </c>
      <c r="E21" s="33" t="str">
        <f>IF(B21="Stormwater Reuse (Square Feet)",'Stormwater Reuse Calculations'!$C$15,IF(ISERROR((VLOOKUP($B21,'BMP List'!A:B,2,FALSE)*$C21)),"",(VLOOKUP($B21,'BMP List'!A:B,2,FALSE)*$C21)))</f>
        <v/>
      </c>
    </row>
    <row r="22" spans="1:5" x14ac:dyDescent="0.25">
      <c r="A22" s="8"/>
      <c r="B22" s="9" t="s">
        <v>0</v>
      </c>
      <c r="C22" s="76" t="str">
        <f>IF(B22="Stormwater Reuse (Square Feet)",IF('Stormwater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Calculations'!$E$30))),(VLOOKUP(B22,'BMP List'!$A:$F,6,FALSE)))</f>
        <v>(Enter BMP Details Here)</v>
      </c>
      <c r="D22" s="29" t="str">
        <f>VLOOKUP(B22,'BMP List'!$A:$E,5,FALSE)</f>
        <v>Unit</v>
      </c>
      <c r="E22" s="33" t="str">
        <f>IF(B22="Stormwater Reuse (Square Feet)",'Stormwater Reuse Calculations'!$C$15,IF(ISERROR((VLOOKUP($B22,'BMP List'!A:B,2,FALSE)*$C22)),"",(VLOOKUP($B22,'BMP List'!A:B,2,FALSE)*$C22)))</f>
        <v/>
      </c>
    </row>
    <row r="23" spans="1:5" x14ac:dyDescent="0.25">
      <c r="A23" s="8"/>
      <c r="B23" s="9" t="s">
        <v>0</v>
      </c>
      <c r="C23" s="76" t="str">
        <f>IF(B23="Stormwater Reuse (Square Feet)",IF('Stormwater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Calculations'!$E$30))),(VLOOKUP(B23,'BMP List'!$A:$F,6,FALSE)))</f>
        <v>(Enter BMP Details Here)</v>
      </c>
      <c r="D23" s="29" t="str">
        <f>VLOOKUP(B23,'BMP List'!$A:$E,5,FALSE)</f>
        <v>Unit</v>
      </c>
      <c r="E23" s="33" t="str">
        <f>IF(B23="Stormwater Reuse (Square Feet)",'Stormwater Reuse Calculations'!$C$15,IF(ISERROR((VLOOKUP($B23,'BMP List'!A:B,2,FALSE)*$C23)),"",(VLOOKUP($B23,'BMP List'!A:B,2,FALSE)*$C23)))</f>
        <v/>
      </c>
    </row>
    <row r="24" spans="1:5" x14ac:dyDescent="0.25">
      <c r="A24" s="8"/>
      <c r="B24" s="9" t="s">
        <v>0</v>
      </c>
      <c r="C24" s="76" t="str">
        <f>IF(B24="Stormwater Reuse (Square Feet)",IF('Stormwater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Calculations'!$E$30))),(VLOOKUP(B24,'BMP List'!$A:$F,6,FALSE)))</f>
        <v>(Enter BMP Details Here)</v>
      </c>
      <c r="D24" s="29" t="str">
        <f>VLOOKUP(B24,'BMP List'!$A:$E,5,FALSE)</f>
        <v>Unit</v>
      </c>
      <c r="E24" s="33" t="str">
        <f>IF(B24="Stormwater Reuse (Square Feet)",'Stormwater Reuse Calculations'!$C$15,IF(ISERROR((VLOOKUP($B24,'BMP List'!A:B,2,FALSE)*$C24)),"",(VLOOKUP($B24,'BMP List'!A:B,2,FALSE)*$C24)))</f>
        <v/>
      </c>
    </row>
    <row r="25" spans="1:5" ht="15" customHeight="1" x14ac:dyDescent="0.25">
      <c r="A25" s="8"/>
      <c r="B25" s="9" t="s">
        <v>0</v>
      </c>
      <c r="C25" s="76" t="str">
        <f>IF(B25="Stormwater Reuse (Square Feet)",IF('Stormwater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Calculations'!$E$30))),(VLOOKUP(B25,'BMP List'!$A:$F,6,FALSE)))</f>
        <v>(Enter BMP Details Here)</v>
      </c>
      <c r="D25" s="29" t="str">
        <f>VLOOKUP(B25,'BMP List'!$A:$E,5,FALSE)</f>
        <v>Unit</v>
      </c>
      <c r="E25" s="33" t="str">
        <f>IF(B25="Stormwater Reuse (Square Feet)",'Stormwater Reuse Calculations'!$C$15,IF(ISERROR((VLOOKUP($B25,'BMP List'!A:B,2,FALSE)*$C25)),"",(VLOOKUP($B25,'BMP List'!A:B,2,FALSE)*$C25)))</f>
        <v/>
      </c>
    </row>
    <row r="26" spans="1:5" ht="15.75" thickBot="1" x14ac:dyDescent="0.3">
      <c r="A26" s="10"/>
      <c r="B26" s="17" t="s">
        <v>0</v>
      </c>
      <c r="C26" s="77" t="str">
        <f>IF(B26="Stormwater Reuse (Square Feet)",IF('Stormwater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Calculations'!$E$30))),(VLOOKUP(B26,'BMP List'!$A:$F,6,FALSE)))</f>
        <v>(Enter BMP Details Here)</v>
      </c>
      <c r="D26" s="34" t="str">
        <f>VLOOKUP(B26,'BMP List'!$A:$E,5,FALSE)</f>
        <v>Unit</v>
      </c>
      <c r="E26" s="36" t="str">
        <f>IF(B26="Stormwater Reuse (Square Feet)",'Stormwater Reuse Calculations'!$C$15,IF(ISERROR((VLOOKUP($B26,'BMP List'!A:B,2,FALSE)*$C26)),"",(VLOOKUP($B26,'BMP List'!A:B,2,FALSE)*$C26)))</f>
        <v/>
      </c>
    </row>
    <row r="27" spans="1:5" ht="15.75" thickBot="1" x14ac:dyDescent="0.3">
      <c r="B27" s="11"/>
      <c r="C27" s="11"/>
      <c r="D27" s="31" t="s">
        <v>17</v>
      </c>
      <c r="E27" s="26">
        <f>SUM(E17:E26)</f>
        <v>0</v>
      </c>
    </row>
    <row r="28" spans="1:5" ht="16.5" customHeight="1" thickTop="1" thickBot="1" x14ac:dyDescent="0.3">
      <c r="D28" s="12" t="s">
        <v>18</v>
      </c>
      <c r="E28" s="20" t="e">
        <f>IF((E27/($C$13))&gt;1,"&gt;100%",E27/($C$13))</f>
        <v>#DIV/0!</v>
      </c>
    </row>
    <row r="29" spans="1:5" ht="16.5" thickTop="1" thickBot="1" x14ac:dyDescent="0.3">
      <c r="D29" s="13" t="s">
        <v>24</v>
      </c>
      <c r="E29" s="14" t="e">
        <f>IF(E28&gt;=100%,"YES","NO")</f>
        <v>#DIV/0!</v>
      </c>
    </row>
    <row r="30" spans="1:5" ht="15.75" thickTop="1" x14ac:dyDescent="0.25"/>
    <row r="36" spans="2:9" x14ac:dyDescent="0.25">
      <c r="H36">
        <f>9942/(3.4*43560)</f>
        <v>6.7128504294279689E-2</v>
      </c>
      <c r="I36">
        <f>H36*12</f>
        <v>0.80554205153135627</v>
      </c>
    </row>
    <row r="38" spans="2:9" ht="23.25" x14ac:dyDescent="0.25">
      <c r="B38" s="45" t="s">
        <v>19</v>
      </c>
    </row>
    <row r="40" spans="2:9" ht="23.25" x14ac:dyDescent="0.25">
      <c r="B40" s="15" t="s">
        <v>20</v>
      </c>
    </row>
    <row r="41" spans="2:9" ht="15.75" thickBot="1" x14ac:dyDescent="0.3"/>
    <row r="42" spans="2:9" ht="24.75" thickTop="1" thickBot="1" x14ac:dyDescent="0.3">
      <c r="B42" s="16" t="s">
        <v>21</v>
      </c>
    </row>
    <row r="43" spans="2:9" ht="15.75" thickTop="1" x14ac:dyDescent="0.25"/>
    <row r="54" spans="4:5" ht="16.5" hidden="1" thickTop="1" thickBot="1" x14ac:dyDescent="0.3">
      <c r="D54" s="13" t="s">
        <v>52</v>
      </c>
      <c r="E54" s="78" t="e">
        <f>E27-C13</f>
        <v>#DIV/0!</v>
      </c>
    </row>
  </sheetData>
  <conditionalFormatting sqref="E29">
    <cfRule type="containsText" dxfId="68" priority="5" operator="containsText" text="n">
      <formula>NOT(ISERROR(SEARCH("n",E29)))</formula>
    </cfRule>
    <cfRule type="containsText" dxfId="67" priority="6" operator="containsText" text="y">
      <formula>NOT(ISERROR(SEARCH("y",E29)))</formula>
    </cfRule>
    <cfRule type="cellIs" dxfId="66" priority="7" operator="equal">
      <formula>"""Yes"""</formula>
    </cfRule>
  </conditionalFormatting>
  <conditionalFormatting sqref="E54">
    <cfRule type="cellIs" dxfId="65" priority="1" operator="lessThan">
      <formula>0</formula>
    </cfRule>
    <cfRule type="cellIs" dxfId="64" priority="2" operator="greaterThan">
      <formula>0</formula>
    </cfRule>
  </conditionalFormatting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'BMP List'!$A$1:$A$22</xm:f>
          </x14:formula1>
          <xm:sqref>B17:B26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1D70E-3458-42CF-BE67-78D4376A729E}">
  <sheetPr>
    <tabColor theme="8" tint="-0.249977111117893"/>
  </sheetPr>
  <dimension ref="A1:H46"/>
  <sheetViews>
    <sheetView zoomScale="80" zoomScaleNormal="80" workbookViewId="0">
      <selection activeCell="B43" sqref="B43"/>
    </sheetView>
  </sheetViews>
  <sheetFormatPr defaultColWidth="9.140625" defaultRowHeight="15" x14ac:dyDescent="0.25"/>
  <cols>
    <col min="1" max="1" width="11.7109375" style="47" customWidth="1"/>
    <col min="2" max="2" width="50.85546875" style="47" bestFit="1" customWidth="1"/>
    <col min="3" max="3" width="32.85546875" style="47" bestFit="1" customWidth="1"/>
    <col min="4" max="4" width="39.5703125" style="47" customWidth="1"/>
    <col min="5" max="5" width="13.85546875" style="47" bestFit="1" customWidth="1"/>
    <col min="6" max="6" width="24.28515625" style="47" customWidth="1"/>
    <col min="7" max="7" width="15.140625" style="47" bestFit="1" customWidth="1"/>
    <col min="8" max="8" width="24.28515625" style="47" customWidth="1"/>
    <col min="9" max="16384" width="9.140625" style="47"/>
  </cols>
  <sheetData>
    <row r="1" spans="1:8" x14ac:dyDescent="0.25">
      <c r="B1" s="48" t="s">
        <v>30</v>
      </c>
      <c r="C1" s="24"/>
    </row>
    <row r="3" spans="1:8" x14ac:dyDescent="0.25">
      <c r="B3" s="48" t="s">
        <v>27</v>
      </c>
      <c r="C3" s="24">
        <v>0</v>
      </c>
    </row>
    <row r="4" spans="1:8" s="51" customFormat="1" ht="4.5" customHeight="1" x14ac:dyDescent="0.25">
      <c r="B4" s="49"/>
      <c r="C4" s="50"/>
    </row>
    <row r="5" spans="1:8" x14ac:dyDescent="0.25">
      <c r="B5" s="48" t="s">
        <v>11</v>
      </c>
      <c r="C5" s="25">
        <f>C3*43560</f>
        <v>0</v>
      </c>
      <c r="F5" s="75"/>
    </row>
    <row r="6" spans="1:8" ht="5.0999999999999996" customHeight="1" thickBot="1" x14ac:dyDescent="0.3">
      <c r="C6" s="52"/>
    </row>
    <row r="7" spans="1:8" ht="15.75" thickBot="1" x14ac:dyDescent="0.3">
      <c r="B7" s="53" t="s">
        <v>13</v>
      </c>
      <c r="C7" s="5">
        <f>C5/24</f>
        <v>0</v>
      </c>
    </row>
    <row r="9" spans="1:8" ht="15.75" thickBot="1" x14ac:dyDescent="0.3"/>
    <row r="10" spans="1:8" ht="30" x14ac:dyDescent="0.25">
      <c r="A10" s="32" t="s">
        <v>47</v>
      </c>
      <c r="B10" s="32" t="s">
        <v>14</v>
      </c>
      <c r="C10" s="18" t="s">
        <v>15</v>
      </c>
      <c r="D10" s="18" t="s">
        <v>16</v>
      </c>
      <c r="E10" s="18" t="s">
        <v>28</v>
      </c>
      <c r="F10" s="18" t="s">
        <v>25</v>
      </c>
      <c r="G10" s="19" t="s">
        <v>29</v>
      </c>
      <c r="H10" s="19" t="s">
        <v>26</v>
      </c>
    </row>
    <row r="11" spans="1:8" ht="15" customHeight="1" x14ac:dyDescent="0.25">
      <c r="A11" s="8"/>
      <c r="B11" s="8" t="s">
        <v>0</v>
      </c>
      <c r="C11" s="76" t="str">
        <f>IF(B11="Stormwater Reuse (Square Feet)",IF('Stormwater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Calculations'!$E$30))),VLOOKUP(B11,'BMP List'!$A:$F,6,FALSE))</f>
        <v>(Enter BMP Details Here)</v>
      </c>
      <c r="D11" s="29" t="str">
        <f>VLOOKUP(B11,'BMP List'!$A:$E,5,FALSE)</f>
        <v>Unit</v>
      </c>
      <c r="E11" s="28" t="str">
        <f>IF(ISERROR(VLOOKUP($B11,'BMP List'!A:C,3,FALSE)),"",VLOOKUP($B11,'BMP List'!A:C,3,FALSE))</f>
        <v>TP Credit</v>
      </c>
      <c r="F11" s="27" t="str">
        <f>IF(ISERROR(C11*E11),"",IF(B11="Disconnecting Impervious Surface (Square Feet)",IF((1/24*C11)&lt;($C$7),1/24*E11*C11,$C$7*E11),IF(B11="Underground Storage 1.5x (Cubic Feet)",IF(C11/1.5&gt;$C$7,$C$7*E11,C11/1.5*E11),IF(C11&gt;$C$7,$C$7*E11,C11*E11))))</f>
        <v/>
      </c>
      <c r="G11" s="30" t="str">
        <f>IF(ISERROR((VLOOKUP($B11,'BMP List'!$A:$D,4,FALSE))),"",VLOOKUP($B11,'BMP List'!$A:$D,4,FALSE))</f>
        <v>TSS Credit</v>
      </c>
      <c r="H11" s="33" t="str">
        <f>IF(ISERROR(C11*G11),"",IF(B11="Hydrodynamic Separator (Square Feet)",IF((1/24*G11*C11)&lt;($C$7*G11),1/24*G11*C11,$C$7*G11),IF(B11="Disconnecting Impervious Surface (Square Feet)",IF((1/24*G11*C11)&lt;($C$7*G11),1/24*G11*C11,$C$7*G11),IF(B11="Underground Storage 1.5x (Cubic Feet)",IF(C11/1.5&gt;$C$7,$C$7*E11,C11/1.5*E11),IF(C11&gt;$C$7,$C$7*G11,C11*G11)))))</f>
        <v/>
      </c>
    </row>
    <row r="12" spans="1:8" x14ac:dyDescent="0.25">
      <c r="A12" s="8"/>
      <c r="B12" s="8" t="s">
        <v>0</v>
      </c>
      <c r="C12" s="76" t="str">
        <f>IF(B12="Stormwater Reuse (Square Feet)",IF('Stormwater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Calculations'!$E$30))),VLOOKUP(B12,'BMP List'!$A:$F,6,FALSE))</f>
        <v>(Enter BMP Details Here)</v>
      </c>
      <c r="D12" s="29" t="str">
        <f>VLOOKUP(B12,'BMP List'!$A:$E,5,FALSE)</f>
        <v>Unit</v>
      </c>
      <c r="E12" s="28" t="str">
        <f>IF(ISERROR(VLOOKUP($B12,'BMP List'!A:C,3,FALSE)),"",VLOOKUP($B12,'BMP List'!A:C,3,FALSE))</f>
        <v>TP Credit</v>
      </c>
      <c r="F12" s="27" t="str">
        <f t="shared" ref="F12:F20" si="0">IF(ISERROR(C12*E12),"",IF(B12="Disconnecting Impervious Surface (Square Feet)",IF((1/24*C12)&lt;($C$7),1/24*E12*C12,$C$7*E12),IF(B12="Underground Storage 1.5x (Cubic Feet)",IF(C12/1.5&gt;$C$7,$C$7*E12,C12/1.5*E12),IF(C12&gt;$C$7,$C$7*E12,C12*E12))))</f>
        <v/>
      </c>
      <c r="G12" s="30" t="str">
        <f>IF(ISERROR((VLOOKUP($B12,'BMP List'!$A:$D,4,FALSE))),"",VLOOKUP($B12,'BMP List'!$A:$D,4,FALSE))</f>
        <v>TSS Credit</v>
      </c>
      <c r="H12" s="33" t="str">
        <f t="shared" ref="H12:H20" si="1">IF(ISERROR(C12*G12),"",IF(B12="Hydrodynamic Separator (Square Feet)",IF((1/24*G12*C12)&lt;($C$7*G12),1/24*G12*C12,$C$7*G12),IF(B12="Disconnecting Impervious Surface (Square Feet)",IF((1/24*G12*C12)&lt;($C$7*G12),1/24*G12*C12,$C$7*G12),IF(B12="Underground Storage 1.5x (Cubic Feet)",IF(C12/1.5&gt;$C$7,$C$7*E12,C12/1.5*E12),IF(C12&gt;$C$7,$C$7*G12,C12*G12)))))</f>
        <v/>
      </c>
    </row>
    <row r="13" spans="1:8" ht="15" customHeight="1" x14ac:dyDescent="0.25">
      <c r="A13" s="8"/>
      <c r="B13" s="8" t="s">
        <v>0</v>
      </c>
      <c r="C13" s="76" t="str">
        <f>IF(B13="Stormwater Reuse (Square Feet)",IF('Stormwater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Calculations'!$E$30))),VLOOKUP(B13,'BMP List'!$A:$F,6,FALSE))</f>
        <v>(Enter BMP Details Here)</v>
      </c>
      <c r="D13" s="29" t="str">
        <f>VLOOKUP(B13,'BMP List'!$A:$E,5,FALSE)</f>
        <v>Unit</v>
      </c>
      <c r="E13" s="28" t="str">
        <f>IF(ISERROR(VLOOKUP($B13,'BMP List'!A:C,3,FALSE)),"",VLOOKUP($B13,'BMP List'!A:C,3,FALSE))</f>
        <v>TP Credit</v>
      </c>
      <c r="F13" s="27" t="str">
        <f t="shared" si="0"/>
        <v/>
      </c>
      <c r="G13" s="30" t="str">
        <f>IF(ISERROR((VLOOKUP($B13,'BMP List'!$A:$D,4,FALSE))),"",VLOOKUP($B13,'BMP List'!$A:$D,4,FALSE))</f>
        <v>TSS Credit</v>
      </c>
      <c r="H13" s="33" t="str">
        <f t="shared" si="1"/>
        <v/>
      </c>
    </row>
    <row r="14" spans="1:8" x14ac:dyDescent="0.25">
      <c r="A14" s="8"/>
      <c r="B14" s="8" t="s">
        <v>0</v>
      </c>
      <c r="C14" s="76" t="str">
        <f>IF(B14="Stormwater Reuse (Square Feet)",IF('Stormwater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Calculations'!$E$30))),VLOOKUP(B14,'BMP List'!$A:$F,6,FALSE))</f>
        <v>(Enter BMP Details Here)</v>
      </c>
      <c r="D14" s="29" t="str">
        <f>VLOOKUP(B14,'BMP List'!$A:$E,5,FALSE)</f>
        <v>Unit</v>
      </c>
      <c r="E14" s="28" t="str">
        <f>IF(ISERROR(VLOOKUP($B14,'BMP List'!A:C,3,FALSE)),"",VLOOKUP($B14,'BMP List'!A:C,3,FALSE))</f>
        <v>TP Credit</v>
      </c>
      <c r="F14" s="27" t="str">
        <f t="shared" si="0"/>
        <v/>
      </c>
      <c r="G14" s="30" t="str">
        <f>IF(ISERROR((VLOOKUP($B14,'BMP List'!$A:$D,4,FALSE))),"",VLOOKUP($B14,'BMP List'!$A:$D,4,FALSE))</f>
        <v>TSS Credit</v>
      </c>
      <c r="H14" s="33" t="str">
        <f t="shared" si="1"/>
        <v/>
      </c>
    </row>
    <row r="15" spans="1:8" x14ac:dyDescent="0.25">
      <c r="A15" s="8"/>
      <c r="B15" s="8" t="s">
        <v>0</v>
      </c>
      <c r="C15" s="76" t="str">
        <f>IF(B15="Stormwater Reuse (Square Feet)",IF('Stormwater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Calculations'!$E$30))),VLOOKUP(B15,'BMP List'!$A:$F,6,FALSE))</f>
        <v>(Enter BMP Details Here)</v>
      </c>
      <c r="D15" s="29" t="str">
        <f>VLOOKUP(B15,'BMP List'!$A:$E,5,FALSE)</f>
        <v>Unit</v>
      </c>
      <c r="E15" s="28" t="str">
        <f>IF(ISERROR(VLOOKUP($B15,'BMP List'!A:C,3,FALSE)),"",VLOOKUP($B15,'BMP List'!A:C,3,FALSE))</f>
        <v>TP Credit</v>
      </c>
      <c r="F15" s="27" t="str">
        <f t="shared" si="0"/>
        <v/>
      </c>
      <c r="G15" s="30" t="str">
        <f>IF(ISERROR((VLOOKUP($B15,'BMP List'!$A:$D,4,FALSE))),"",VLOOKUP($B15,'BMP List'!$A:$D,4,FALSE))</f>
        <v>TSS Credit</v>
      </c>
      <c r="H15" s="33" t="str">
        <f t="shared" si="1"/>
        <v/>
      </c>
    </row>
    <row r="16" spans="1:8" x14ac:dyDescent="0.25">
      <c r="A16" s="8"/>
      <c r="B16" s="8" t="s">
        <v>0</v>
      </c>
      <c r="C16" s="76" t="str">
        <f>IF(B16="Stormwater Reuse (Square Feet)",IF('Stormwater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Calculations'!$E$30))),VLOOKUP(B16,'BMP List'!$A:$F,6,FALSE))</f>
        <v>(Enter BMP Details Here)</v>
      </c>
      <c r="D16" s="29" t="str">
        <f>VLOOKUP(B16,'BMP List'!$A:$E,5,FALSE)</f>
        <v>Unit</v>
      </c>
      <c r="E16" s="28" t="str">
        <f>IF(ISERROR(VLOOKUP($B16,'BMP List'!A:C,3,FALSE)),"",VLOOKUP($B16,'BMP List'!A:C,3,FALSE))</f>
        <v>TP Credit</v>
      </c>
      <c r="F16" s="27" t="str">
        <f t="shared" si="0"/>
        <v/>
      </c>
      <c r="G16" s="30" t="str">
        <f>IF(ISERROR((VLOOKUP($B16,'BMP List'!$A:$D,4,FALSE))),"",VLOOKUP($B16,'BMP List'!$A:$D,4,FALSE))</f>
        <v>TSS Credit</v>
      </c>
      <c r="H16" s="33" t="str">
        <f t="shared" si="1"/>
        <v/>
      </c>
    </row>
    <row r="17" spans="1:8" x14ac:dyDescent="0.25">
      <c r="A17" s="8"/>
      <c r="B17" s="8" t="s">
        <v>0</v>
      </c>
      <c r="C17" s="76" t="str">
        <f>IF(B17="Stormwater Reuse (Square Feet)",IF('Stormwater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Calculations'!$E$30))),VLOOKUP(B17,'BMP List'!$A:$F,6,FALSE))</f>
        <v>(Enter BMP Details Here)</v>
      </c>
      <c r="D17" s="29" t="str">
        <f>VLOOKUP(B17,'BMP List'!$A:$E,5,FALSE)</f>
        <v>Unit</v>
      </c>
      <c r="E17" s="28" t="str">
        <f>IF(ISERROR(VLOOKUP($B17,'BMP List'!A:C,3,FALSE)),"",VLOOKUP($B17,'BMP List'!A:C,3,FALSE))</f>
        <v>TP Credit</v>
      </c>
      <c r="F17" s="27" t="str">
        <f t="shared" si="0"/>
        <v/>
      </c>
      <c r="G17" s="30" t="str">
        <f>IF(ISERROR((VLOOKUP($B17,'BMP List'!$A:$D,4,FALSE))),"",VLOOKUP($B17,'BMP List'!$A:$D,4,FALSE))</f>
        <v>TSS Credit</v>
      </c>
      <c r="H17" s="33" t="str">
        <f t="shared" si="1"/>
        <v/>
      </c>
    </row>
    <row r="18" spans="1:8" x14ac:dyDescent="0.25">
      <c r="A18" s="8"/>
      <c r="B18" s="8" t="s">
        <v>0</v>
      </c>
      <c r="C18" s="76" t="str">
        <f>IF(B18="Stormwater Reuse (Square Feet)",IF('Stormwater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Calculations'!$E$30))),VLOOKUP(B18,'BMP List'!$A:$F,6,FALSE))</f>
        <v>(Enter BMP Details Here)</v>
      </c>
      <c r="D18" s="29" t="str">
        <f>VLOOKUP(B18,'BMP List'!$A:$E,5,FALSE)</f>
        <v>Unit</v>
      </c>
      <c r="E18" s="28" t="str">
        <f>IF(ISERROR(VLOOKUP($B18,'BMP List'!A:C,3,FALSE)),"",VLOOKUP($B18,'BMP List'!A:C,3,FALSE))</f>
        <v>TP Credit</v>
      </c>
      <c r="F18" s="27" t="str">
        <f t="shared" si="0"/>
        <v/>
      </c>
      <c r="G18" s="30" t="str">
        <f>IF(ISERROR((VLOOKUP($B18,'BMP List'!$A:$D,4,FALSE))),"",VLOOKUP($B18,'BMP List'!$A:$D,4,FALSE))</f>
        <v>TSS Credit</v>
      </c>
      <c r="H18" s="33" t="str">
        <f t="shared" si="1"/>
        <v/>
      </c>
    </row>
    <row r="19" spans="1:8" ht="15" customHeight="1" x14ac:dyDescent="0.25">
      <c r="A19" s="8"/>
      <c r="B19" s="8" t="s">
        <v>0</v>
      </c>
      <c r="C19" s="76" t="str">
        <f>IF(B19="Stormwater Reuse (Square Feet)",IF('Stormwater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Calculations'!$E$30))),VLOOKUP(B19,'BMP List'!$A:$F,6,FALSE))</f>
        <v>(Enter BMP Details Here)</v>
      </c>
      <c r="D19" s="29" t="str">
        <f>VLOOKUP(B19,'BMP List'!$A:$E,5,FALSE)</f>
        <v>Unit</v>
      </c>
      <c r="E19" s="28" t="str">
        <f>IF(ISERROR(VLOOKUP($B19,'BMP List'!A:C,3,FALSE)),"",VLOOKUP($B19,'BMP List'!A:C,3,FALSE))</f>
        <v>TP Credit</v>
      </c>
      <c r="F19" s="27" t="str">
        <f t="shared" si="0"/>
        <v/>
      </c>
      <c r="G19" s="30" t="str">
        <f>IF(ISERROR((VLOOKUP($B19,'BMP List'!$A:$D,4,FALSE))),"",VLOOKUP($B19,'BMP List'!$A:$D,4,FALSE))</f>
        <v>TSS Credit</v>
      </c>
      <c r="H19" s="33" t="str">
        <f t="shared" si="1"/>
        <v/>
      </c>
    </row>
    <row r="20" spans="1:8" ht="15.75" thickBot="1" x14ac:dyDescent="0.3">
      <c r="A20" s="10"/>
      <c r="B20" s="10" t="s">
        <v>0</v>
      </c>
      <c r="C20" s="77" t="str">
        <f>IF(B20="Stormwater Reuse (Square Feet)",IF('Stormwater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Calculations'!$E$30))),VLOOKUP(B20,'BMP List'!$A:$F,6,FALSE))</f>
        <v>(Enter BMP Details Here)</v>
      </c>
      <c r="D20" s="34" t="str">
        <f>VLOOKUP(B20,'BMP List'!$A:$E,5,FALSE)</f>
        <v>Unit</v>
      </c>
      <c r="E20" s="35" t="str">
        <f>IF(ISERROR(VLOOKUP($B20,'BMP List'!A:C,3,FALSE)),"",VLOOKUP($B20,'BMP List'!A:C,3,FALSE))</f>
        <v>TP Credit</v>
      </c>
      <c r="F20" s="83" t="str">
        <f t="shared" si="0"/>
        <v/>
      </c>
      <c r="G20" s="44" t="str">
        <f>IF(ISERROR((VLOOKUP($B20,'BMP List'!$A:$D,4,FALSE))),"",VLOOKUP($B20,'BMP List'!$A:$D,4,FALSE))</f>
        <v>TSS Credit</v>
      </c>
      <c r="H20" s="36" t="str">
        <f t="shared" si="1"/>
        <v/>
      </c>
    </row>
    <row r="21" spans="1:8" ht="15.75" thickBot="1" x14ac:dyDescent="0.3">
      <c r="B21" s="63"/>
      <c r="C21" s="63"/>
      <c r="D21" s="31" t="s">
        <v>17</v>
      </c>
      <c r="F21" s="26">
        <f>SUM(F11:F20)</f>
        <v>0</v>
      </c>
      <c r="H21" s="26">
        <f>SUM(H11:H20)</f>
        <v>0</v>
      </c>
    </row>
    <row r="22" spans="1:8" ht="16.5" customHeight="1" thickTop="1" thickBot="1" x14ac:dyDescent="0.3">
      <c r="D22" s="12" t="s">
        <v>18</v>
      </c>
      <c r="F22" s="20" t="e">
        <f>IF((F21/($C$7*0.9))&gt;1,"&gt;100%",F21/($C$7*0.9))</f>
        <v>#DIV/0!</v>
      </c>
      <c r="H22" s="20" t="e">
        <f>IF((H21/($C$7*0.9))&gt;1,"&gt;100%",H21/($C$7*0.9))</f>
        <v>#DIV/0!</v>
      </c>
    </row>
    <row r="23" spans="1:8" ht="16.5" thickTop="1" thickBot="1" x14ac:dyDescent="0.3">
      <c r="D23" s="12" t="s">
        <v>24</v>
      </c>
      <c r="F23" s="12" t="e">
        <f>IF(F22&gt;=100%,"YES","NO")</f>
        <v>#DIV/0!</v>
      </c>
      <c r="H23" s="12" t="e">
        <f>IF(H22&gt;=100%,"YES","NO")</f>
        <v>#DIV/0!</v>
      </c>
    </row>
    <row r="24" spans="1:8" ht="15.75" thickTop="1" x14ac:dyDescent="0.25">
      <c r="D24" s="79"/>
      <c r="E24" s="70"/>
      <c r="F24" s="80"/>
      <c r="G24" s="70"/>
      <c r="H24" s="80"/>
    </row>
    <row r="25" spans="1:8" x14ac:dyDescent="0.25">
      <c r="F25" s="56"/>
    </row>
    <row r="32" spans="1:8" ht="23.25" x14ac:dyDescent="0.25">
      <c r="B32" s="45" t="s">
        <v>19</v>
      </c>
    </row>
    <row r="34" spans="2:8" ht="23.25" x14ac:dyDescent="0.25">
      <c r="B34" s="72" t="s">
        <v>20</v>
      </c>
    </row>
    <row r="35" spans="2:8" ht="15.75" thickBot="1" x14ac:dyDescent="0.3"/>
    <row r="36" spans="2:8" ht="24.75" thickTop="1" thickBot="1" x14ac:dyDescent="0.3">
      <c r="B36" s="73" t="s">
        <v>21</v>
      </c>
    </row>
    <row r="37" spans="2:8" ht="15.75" thickTop="1" x14ac:dyDescent="0.25"/>
    <row r="46" spans="2:8" ht="16.5" hidden="1" thickTop="1" thickBot="1" x14ac:dyDescent="0.3">
      <c r="D46" s="13" t="s">
        <v>51</v>
      </c>
      <c r="F46" s="78">
        <f>(IF(F11="",0,E11*$C$11)+IF(F12="",0,E12*$C$12)+IF(F13="",0,E13*$C$13)+IF(F14="",0,E14*$C$14)+IF(F15="",0,E15*$C$15)+IF(F16="",0,E16*$C$16)+IF(F17="",0,E17*$C$17)+IF(F18="",0,E18*$C$18)+IF(F19="",0,E19*$C$19)+IF(F20="",0,E20*$C$20))-($C$7*0.9)</f>
        <v>0</v>
      </c>
      <c r="H46" s="78">
        <f>(IF(H11="",0,G11*$C$11)+IF(H12="",0,G12*$C$12)+IF(H13="",0,G13*$C$13)+IF(H14="",0,G14*$C$14)+IF(H15="",0,G15*$C$15)+IF(H16="",0,G16*$C$16)+IF(H17="",0,G17*$C$17)+IF(H18="",0,G18*$C$18)+IF(H19="",0,G19*$C$19)+IF(H20="",0,G20*$C$20))-($C$7*0.9)</f>
        <v>0</v>
      </c>
    </row>
  </sheetData>
  <conditionalFormatting sqref="F46 H46">
    <cfRule type="cellIs" dxfId="17" priority="3" operator="lessThan">
      <formula>0</formula>
    </cfRule>
    <cfRule type="cellIs" dxfId="16" priority="4" operator="greaterThan">
      <formula>0</formula>
    </cfRule>
  </conditionalFormatting>
  <conditionalFormatting sqref="F24 H24">
    <cfRule type="cellIs" dxfId="15" priority="5" operator="lessThan">
      <formula>0</formula>
    </cfRule>
    <cfRule type="cellIs" dxfId="14" priority="6" operator="greaterThan">
      <formula>0</formula>
    </cfRule>
  </conditionalFormatting>
  <conditionalFormatting sqref="F23 H23">
    <cfRule type="containsText" dxfId="13" priority="1" operator="containsText" text="yes">
      <formula>NOT(ISERROR(SEARCH("yes",F23)))</formula>
    </cfRule>
    <cfRule type="containsText" dxfId="12" priority="2" operator="containsText" text="No">
      <formula>NOT(ISERROR(SEARCH("No",F23)))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83655D0-EF84-499C-BFCE-1422CD315EC3}">
          <x14:formula1>
            <xm:f>'BMP List'!$A$1:$A$22</xm:f>
          </x14:formula1>
          <xm:sqref>B11:B20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A777F-D48A-4F6C-BFC6-C7AF439CF10B}">
  <sheetPr>
    <tabColor theme="8" tint="-0.249977111117893"/>
  </sheetPr>
  <dimension ref="A1:H46"/>
  <sheetViews>
    <sheetView zoomScale="80" zoomScaleNormal="80" workbookViewId="0">
      <selection activeCell="B43" sqref="B43"/>
    </sheetView>
  </sheetViews>
  <sheetFormatPr defaultColWidth="9.140625" defaultRowHeight="15" x14ac:dyDescent="0.25"/>
  <cols>
    <col min="1" max="1" width="11.7109375" style="47" customWidth="1"/>
    <col min="2" max="2" width="50.85546875" style="47" bestFit="1" customWidth="1"/>
    <col min="3" max="3" width="32.85546875" style="47" bestFit="1" customWidth="1"/>
    <col min="4" max="4" width="39.5703125" style="47" customWidth="1"/>
    <col min="5" max="5" width="13.85546875" style="47" bestFit="1" customWidth="1"/>
    <col min="6" max="6" width="24.28515625" style="47" customWidth="1"/>
    <col min="7" max="7" width="15.140625" style="47" bestFit="1" customWidth="1"/>
    <col min="8" max="8" width="24.28515625" style="47" customWidth="1"/>
    <col min="9" max="16384" width="9.140625" style="47"/>
  </cols>
  <sheetData>
    <row r="1" spans="1:8" x14ac:dyDescent="0.25">
      <c r="B1" s="48" t="s">
        <v>30</v>
      </c>
      <c r="C1" s="24"/>
    </row>
    <row r="3" spans="1:8" x14ac:dyDescent="0.25">
      <c r="B3" s="48" t="s">
        <v>27</v>
      </c>
      <c r="C3" s="24">
        <v>0</v>
      </c>
    </row>
    <row r="4" spans="1:8" s="51" customFormat="1" ht="4.5" customHeight="1" x14ac:dyDescent="0.25">
      <c r="B4" s="49"/>
      <c r="C4" s="50"/>
    </row>
    <row r="5" spans="1:8" x14ac:dyDescent="0.25">
      <c r="B5" s="48" t="s">
        <v>11</v>
      </c>
      <c r="C5" s="25">
        <f>C3*43560</f>
        <v>0</v>
      </c>
      <c r="F5" s="75"/>
    </row>
    <row r="6" spans="1:8" ht="5.0999999999999996" customHeight="1" thickBot="1" x14ac:dyDescent="0.3">
      <c r="C6" s="52"/>
    </row>
    <row r="7" spans="1:8" ht="15.75" thickBot="1" x14ac:dyDescent="0.3">
      <c r="B7" s="53" t="s">
        <v>13</v>
      </c>
      <c r="C7" s="5">
        <f>C5/24</f>
        <v>0</v>
      </c>
    </row>
    <row r="9" spans="1:8" ht="15.75" thickBot="1" x14ac:dyDescent="0.3"/>
    <row r="10" spans="1:8" ht="30" x14ac:dyDescent="0.25">
      <c r="A10" s="32" t="s">
        <v>47</v>
      </c>
      <c r="B10" s="32" t="s">
        <v>14</v>
      </c>
      <c r="C10" s="18" t="s">
        <v>15</v>
      </c>
      <c r="D10" s="18" t="s">
        <v>16</v>
      </c>
      <c r="E10" s="18" t="s">
        <v>28</v>
      </c>
      <c r="F10" s="18" t="s">
        <v>25</v>
      </c>
      <c r="G10" s="19" t="s">
        <v>29</v>
      </c>
      <c r="H10" s="19" t="s">
        <v>26</v>
      </c>
    </row>
    <row r="11" spans="1:8" ht="15" customHeight="1" x14ac:dyDescent="0.25">
      <c r="A11" s="8"/>
      <c r="B11" s="8" t="s">
        <v>0</v>
      </c>
      <c r="C11" s="76" t="str">
        <f>IF(B11="Stormwater Reuse (Square Feet)",IF('Stormwater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Calculations'!$E$30))),VLOOKUP(B11,'BMP List'!$A:$F,6,FALSE))</f>
        <v>(Enter BMP Details Here)</v>
      </c>
      <c r="D11" s="29" t="str">
        <f>VLOOKUP(B11,'BMP List'!$A:$E,5,FALSE)</f>
        <v>Unit</v>
      </c>
      <c r="E11" s="28" t="str">
        <f>IF(ISERROR(VLOOKUP($B11,'BMP List'!A:C,3,FALSE)),"",VLOOKUP($B11,'BMP List'!A:C,3,FALSE))</f>
        <v>TP Credit</v>
      </c>
      <c r="F11" s="27" t="str">
        <f>IF(ISERROR(C11*E11),"",IF(B11="Disconnecting Impervious Surface (Square Feet)",IF((1/24*C11)&lt;($C$7),1/24*E11*C11,$C$7*E11),IF(B11="Underground Storage 1.5x (Cubic Feet)",IF(C11/1.5&gt;$C$7,$C$7*E11,C11/1.5*E11),IF(C11&gt;$C$7,$C$7*E11,C11*E11))))</f>
        <v/>
      </c>
      <c r="G11" s="30" t="str">
        <f>IF(ISERROR((VLOOKUP($B11,'BMP List'!$A:$D,4,FALSE))),"",VLOOKUP($B11,'BMP List'!$A:$D,4,FALSE))</f>
        <v>TSS Credit</v>
      </c>
      <c r="H11" s="33" t="str">
        <f>IF(ISERROR(C11*G11),"",IF(B11="Hydrodynamic Separator (Square Feet)",IF((1/24*G11*C11)&lt;($C$7*G11),1/24*G11*C11,$C$7*G11),IF(B11="Disconnecting Impervious Surface (Square Feet)",IF((1/24*G11*C11)&lt;($C$7*G11),1/24*G11*C11,$C$7*G11),IF(B11="Underground Storage 1.5x (Cubic Feet)",IF(C11/1.5&gt;$C$7,$C$7*E11,C11/1.5*E11),IF(C11&gt;$C$7,$C$7*G11,C11*G11)))))</f>
        <v/>
      </c>
    </row>
    <row r="12" spans="1:8" x14ac:dyDescent="0.25">
      <c r="A12" s="8"/>
      <c r="B12" s="8" t="s">
        <v>0</v>
      </c>
      <c r="C12" s="76" t="str">
        <f>IF(B12="Stormwater Reuse (Square Feet)",IF('Stormwater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Calculations'!$E$30))),VLOOKUP(B12,'BMP List'!$A:$F,6,FALSE))</f>
        <v>(Enter BMP Details Here)</v>
      </c>
      <c r="D12" s="29" t="str">
        <f>VLOOKUP(B12,'BMP List'!$A:$E,5,FALSE)</f>
        <v>Unit</v>
      </c>
      <c r="E12" s="28" t="str">
        <f>IF(ISERROR(VLOOKUP($B12,'BMP List'!A:C,3,FALSE)),"",VLOOKUP($B12,'BMP List'!A:C,3,FALSE))</f>
        <v>TP Credit</v>
      </c>
      <c r="F12" s="27" t="str">
        <f t="shared" ref="F12:F20" si="0">IF(ISERROR(C12*E12),"",IF(B12="Disconnecting Impervious Surface (Square Feet)",IF((1/24*C12)&lt;($C$7),1/24*E12*C12,$C$7*E12),IF(B12="Underground Storage 1.5x (Cubic Feet)",IF(C12/1.5&gt;$C$7,$C$7*E12,C12/1.5*E12),IF(C12&gt;$C$7,$C$7*E12,C12*E12))))</f>
        <v/>
      </c>
      <c r="G12" s="30" t="str">
        <f>IF(ISERROR((VLOOKUP($B12,'BMP List'!$A:$D,4,FALSE))),"",VLOOKUP($B12,'BMP List'!$A:$D,4,FALSE))</f>
        <v>TSS Credit</v>
      </c>
      <c r="H12" s="33" t="str">
        <f t="shared" ref="H12:H20" si="1">IF(ISERROR(C12*G12),"",IF(B12="Hydrodynamic Separator (Square Feet)",IF((1/24*G12*C12)&lt;($C$7*G12),1/24*G12*C12,$C$7*G12),IF(B12="Disconnecting Impervious Surface (Square Feet)",IF((1/24*G12*C12)&lt;($C$7*G12),1/24*G12*C12,$C$7*G12),IF(B12="Underground Storage 1.5x (Cubic Feet)",IF(C12/1.5&gt;$C$7,$C$7*E12,C12/1.5*E12),IF(C12&gt;$C$7,$C$7*G12,C12*G12)))))</f>
        <v/>
      </c>
    </row>
    <row r="13" spans="1:8" ht="15" customHeight="1" x14ac:dyDescent="0.25">
      <c r="A13" s="8"/>
      <c r="B13" s="8" t="s">
        <v>0</v>
      </c>
      <c r="C13" s="76" t="str">
        <f>IF(B13="Stormwater Reuse (Square Feet)",IF('Stormwater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Calculations'!$E$30))),VLOOKUP(B13,'BMP List'!$A:$F,6,FALSE))</f>
        <v>(Enter BMP Details Here)</v>
      </c>
      <c r="D13" s="29" t="str">
        <f>VLOOKUP(B13,'BMP List'!$A:$E,5,FALSE)</f>
        <v>Unit</v>
      </c>
      <c r="E13" s="28" t="str">
        <f>IF(ISERROR(VLOOKUP($B13,'BMP List'!A:C,3,FALSE)),"",VLOOKUP($B13,'BMP List'!A:C,3,FALSE))</f>
        <v>TP Credit</v>
      </c>
      <c r="F13" s="27" t="str">
        <f t="shared" si="0"/>
        <v/>
      </c>
      <c r="G13" s="30" t="str">
        <f>IF(ISERROR((VLOOKUP($B13,'BMP List'!$A:$D,4,FALSE))),"",VLOOKUP($B13,'BMP List'!$A:$D,4,FALSE))</f>
        <v>TSS Credit</v>
      </c>
      <c r="H13" s="33" t="str">
        <f t="shared" si="1"/>
        <v/>
      </c>
    </row>
    <row r="14" spans="1:8" x14ac:dyDescent="0.25">
      <c r="A14" s="8"/>
      <c r="B14" s="8" t="s">
        <v>0</v>
      </c>
      <c r="C14" s="76" t="str">
        <f>IF(B14="Stormwater Reuse (Square Feet)",IF('Stormwater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Calculations'!$E$30))),VLOOKUP(B14,'BMP List'!$A:$F,6,FALSE))</f>
        <v>(Enter BMP Details Here)</v>
      </c>
      <c r="D14" s="29" t="str">
        <f>VLOOKUP(B14,'BMP List'!$A:$E,5,FALSE)</f>
        <v>Unit</v>
      </c>
      <c r="E14" s="28" t="str">
        <f>IF(ISERROR(VLOOKUP($B14,'BMP List'!A:C,3,FALSE)),"",VLOOKUP($B14,'BMP List'!A:C,3,FALSE))</f>
        <v>TP Credit</v>
      </c>
      <c r="F14" s="27" t="str">
        <f t="shared" si="0"/>
        <v/>
      </c>
      <c r="G14" s="30" t="str">
        <f>IF(ISERROR((VLOOKUP($B14,'BMP List'!$A:$D,4,FALSE))),"",VLOOKUP($B14,'BMP List'!$A:$D,4,FALSE))</f>
        <v>TSS Credit</v>
      </c>
      <c r="H14" s="33" t="str">
        <f t="shared" si="1"/>
        <v/>
      </c>
    </row>
    <row r="15" spans="1:8" x14ac:dyDescent="0.25">
      <c r="A15" s="8"/>
      <c r="B15" s="8" t="s">
        <v>0</v>
      </c>
      <c r="C15" s="76" t="str">
        <f>IF(B15="Stormwater Reuse (Square Feet)",IF('Stormwater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Calculations'!$E$30))),VLOOKUP(B15,'BMP List'!$A:$F,6,FALSE))</f>
        <v>(Enter BMP Details Here)</v>
      </c>
      <c r="D15" s="29" t="str">
        <f>VLOOKUP(B15,'BMP List'!$A:$E,5,FALSE)</f>
        <v>Unit</v>
      </c>
      <c r="E15" s="28" t="str">
        <f>IF(ISERROR(VLOOKUP($B15,'BMP List'!A:C,3,FALSE)),"",VLOOKUP($B15,'BMP List'!A:C,3,FALSE))</f>
        <v>TP Credit</v>
      </c>
      <c r="F15" s="27" t="str">
        <f t="shared" si="0"/>
        <v/>
      </c>
      <c r="G15" s="30" t="str">
        <f>IF(ISERROR((VLOOKUP($B15,'BMP List'!$A:$D,4,FALSE))),"",VLOOKUP($B15,'BMP List'!$A:$D,4,FALSE))</f>
        <v>TSS Credit</v>
      </c>
      <c r="H15" s="33" t="str">
        <f t="shared" si="1"/>
        <v/>
      </c>
    </row>
    <row r="16" spans="1:8" x14ac:dyDescent="0.25">
      <c r="A16" s="8"/>
      <c r="B16" s="8" t="s">
        <v>0</v>
      </c>
      <c r="C16" s="76" t="str">
        <f>IF(B16="Stormwater Reuse (Square Feet)",IF('Stormwater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Calculations'!$E$30))),VLOOKUP(B16,'BMP List'!$A:$F,6,FALSE))</f>
        <v>(Enter BMP Details Here)</v>
      </c>
      <c r="D16" s="29" t="str">
        <f>VLOOKUP(B16,'BMP List'!$A:$E,5,FALSE)</f>
        <v>Unit</v>
      </c>
      <c r="E16" s="28" t="str">
        <f>IF(ISERROR(VLOOKUP($B16,'BMP List'!A:C,3,FALSE)),"",VLOOKUP($B16,'BMP List'!A:C,3,FALSE))</f>
        <v>TP Credit</v>
      </c>
      <c r="F16" s="27" t="str">
        <f t="shared" si="0"/>
        <v/>
      </c>
      <c r="G16" s="30" t="str">
        <f>IF(ISERROR((VLOOKUP($B16,'BMP List'!$A:$D,4,FALSE))),"",VLOOKUP($B16,'BMP List'!$A:$D,4,FALSE))</f>
        <v>TSS Credit</v>
      </c>
      <c r="H16" s="33" t="str">
        <f t="shared" si="1"/>
        <v/>
      </c>
    </row>
    <row r="17" spans="1:8" x14ac:dyDescent="0.25">
      <c r="A17" s="8"/>
      <c r="B17" s="8" t="s">
        <v>0</v>
      </c>
      <c r="C17" s="76" t="str">
        <f>IF(B17="Stormwater Reuse (Square Feet)",IF('Stormwater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Calculations'!$E$30))),VLOOKUP(B17,'BMP List'!$A:$F,6,FALSE))</f>
        <v>(Enter BMP Details Here)</v>
      </c>
      <c r="D17" s="29" t="str">
        <f>VLOOKUP(B17,'BMP List'!$A:$E,5,FALSE)</f>
        <v>Unit</v>
      </c>
      <c r="E17" s="28" t="str">
        <f>IF(ISERROR(VLOOKUP($B17,'BMP List'!A:C,3,FALSE)),"",VLOOKUP($B17,'BMP List'!A:C,3,FALSE))</f>
        <v>TP Credit</v>
      </c>
      <c r="F17" s="27" t="str">
        <f t="shared" si="0"/>
        <v/>
      </c>
      <c r="G17" s="30" t="str">
        <f>IF(ISERROR((VLOOKUP($B17,'BMP List'!$A:$D,4,FALSE))),"",VLOOKUP($B17,'BMP List'!$A:$D,4,FALSE))</f>
        <v>TSS Credit</v>
      </c>
      <c r="H17" s="33" t="str">
        <f t="shared" si="1"/>
        <v/>
      </c>
    </row>
    <row r="18" spans="1:8" x14ac:dyDescent="0.25">
      <c r="A18" s="8"/>
      <c r="B18" s="8" t="s">
        <v>0</v>
      </c>
      <c r="C18" s="76" t="str">
        <f>IF(B18="Stormwater Reuse (Square Feet)",IF('Stormwater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Calculations'!$E$30))),VLOOKUP(B18,'BMP List'!$A:$F,6,FALSE))</f>
        <v>(Enter BMP Details Here)</v>
      </c>
      <c r="D18" s="29" t="str">
        <f>VLOOKUP(B18,'BMP List'!$A:$E,5,FALSE)</f>
        <v>Unit</v>
      </c>
      <c r="E18" s="28" t="str">
        <f>IF(ISERROR(VLOOKUP($B18,'BMP List'!A:C,3,FALSE)),"",VLOOKUP($B18,'BMP List'!A:C,3,FALSE))</f>
        <v>TP Credit</v>
      </c>
      <c r="F18" s="27" t="str">
        <f t="shared" si="0"/>
        <v/>
      </c>
      <c r="G18" s="30" t="str">
        <f>IF(ISERROR((VLOOKUP($B18,'BMP List'!$A:$D,4,FALSE))),"",VLOOKUP($B18,'BMP List'!$A:$D,4,FALSE))</f>
        <v>TSS Credit</v>
      </c>
      <c r="H18" s="33" t="str">
        <f t="shared" si="1"/>
        <v/>
      </c>
    </row>
    <row r="19" spans="1:8" ht="15" customHeight="1" x14ac:dyDescent="0.25">
      <c r="A19" s="8"/>
      <c r="B19" s="8" t="s">
        <v>0</v>
      </c>
      <c r="C19" s="76" t="str">
        <f>IF(B19="Stormwater Reuse (Square Feet)",IF('Stormwater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Calculations'!$E$30))),VLOOKUP(B19,'BMP List'!$A:$F,6,FALSE))</f>
        <v>(Enter BMP Details Here)</v>
      </c>
      <c r="D19" s="29" t="str">
        <f>VLOOKUP(B19,'BMP List'!$A:$E,5,FALSE)</f>
        <v>Unit</v>
      </c>
      <c r="E19" s="28" t="str">
        <f>IF(ISERROR(VLOOKUP($B19,'BMP List'!A:C,3,FALSE)),"",VLOOKUP($B19,'BMP List'!A:C,3,FALSE))</f>
        <v>TP Credit</v>
      </c>
      <c r="F19" s="27" t="str">
        <f t="shared" si="0"/>
        <v/>
      </c>
      <c r="G19" s="30" t="str">
        <f>IF(ISERROR((VLOOKUP($B19,'BMP List'!$A:$D,4,FALSE))),"",VLOOKUP($B19,'BMP List'!$A:$D,4,FALSE))</f>
        <v>TSS Credit</v>
      </c>
      <c r="H19" s="33" t="str">
        <f t="shared" si="1"/>
        <v/>
      </c>
    </row>
    <row r="20" spans="1:8" ht="15.75" thickBot="1" x14ac:dyDescent="0.3">
      <c r="A20" s="10"/>
      <c r="B20" s="10" t="s">
        <v>0</v>
      </c>
      <c r="C20" s="77" t="str">
        <f>IF(B20="Stormwater Reuse (Square Feet)",IF('Stormwater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Calculations'!$E$30))),VLOOKUP(B20,'BMP List'!$A:$F,6,FALSE))</f>
        <v>(Enter BMP Details Here)</v>
      </c>
      <c r="D20" s="34" t="str">
        <f>VLOOKUP(B20,'BMP List'!$A:$E,5,FALSE)</f>
        <v>Unit</v>
      </c>
      <c r="E20" s="35" t="str">
        <f>IF(ISERROR(VLOOKUP($B20,'BMP List'!A:C,3,FALSE)),"",VLOOKUP($B20,'BMP List'!A:C,3,FALSE))</f>
        <v>TP Credit</v>
      </c>
      <c r="F20" s="83" t="str">
        <f t="shared" si="0"/>
        <v/>
      </c>
      <c r="G20" s="44" t="str">
        <f>IF(ISERROR((VLOOKUP($B20,'BMP List'!$A:$D,4,FALSE))),"",VLOOKUP($B20,'BMP List'!$A:$D,4,FALSE))</f>
        <v>TSS Credit</v>
      </c>
      <c r="H20" s="36" t="str">
        <f t="shared" si="1"/>
        <v/>
      </c>
    </row>
    <row r="21" spans="1:8" ht="15.75" thickBot="1" x14ac:dyDescent="0.3">
      <c r="B21" s="63"/>
      <c r="C21" s="63"/>
      <c r="D21" s="31" t="s">
        <v>17</v>
      </c>
      <c r="F21" s="26">
        <f>SUM(F11:F20)</f>
        <v>0</v>
      </c>
      <c r="H21" s="26">
        <f>SUM(H11:H20)</f>
        <v>0</v>
      </c>
    </row>
    <row r="22" spans="1:8" ht="16.5" customHeight="1" thickTop="1" thickBot="1" x14ac:dyDescent="0.3">
      <c r="D22" s="12" t="s">
        <v>18</v>
      </c>
      <c r="F22" s="20" t="e">
        <f>IF((F21/($C$7*0.9))&gt;1,"&gt;100%",F21/($C$7*0.9))</f>
        <v>#DIV/0!</v>
      </c>
      <c r="H22" s="20" t="e">
        <f>IF((H21/($C$7*0.9))&gt;1,"&gt;100%",H21/($C$7*0.9))</f>
        <v>#DIV/0!</v>
      </c>
    </row>
    <row r="23" spans="1:8" ht="16.5" thickTop="1" thickBot="1" x14ac:dyDescent="0.3">
      <c r="D23" s="12" t="s">
        <v>24</v>
      </c>
      <c r="F23" s="12" t="e">
        <f>IF(F22&gt;=100%,"YES","NO")</f>
        <v>#DIV/0!</v>
      </c>
      <c r="H23" s="12" t="e">
        <f>IF(H22&gt;=100%,"YES","NO")</f>
        <v>#DIV/0!</v>
      </c>
    </row>
    <row r="24" spans="1:8" ht="15.75" thickTop="1" x14ac:dyDescent="0.25">
      <c r="D24" s="79"/>
      <c r="E24" s="70"/>
      <c r="F24" s="80"/>
      <c r="G24" s="70"/>
      <c r="H24" s="80"/>
    </row>
    <row r="25" spans="1:8" x14ac:dyDescent="0.25">
      <c r="F25" s="56"/>
    </row>
    <row r="32" spans="1:8" ht="23.25" x14ac:dyDescent="0.25">
      <c r="B32" s="45" t="s">
        <v>19</v>
      </c>
    </row>
    <row r="34" spans="2:8" ht="23.25" x14ac:dyDescent="0.25">
      <c r="B34" s="72" t="s">
        <v>20</v>
      </c>
    </row>
    <row r="35" spans="2:8" ht="15.75" thickBot="1" x14ac:dyDescent="0.3"/>
    <row r="36" spans="2:8" ht="24.75" thickTop="1" thickBot="1" x14ac:dyDescent="0.3">
      <c r="B36" s="73" t="s">
        <v>21</v>
      </c>
    </row>
    <row r="37" spans="2:8" ht="15.75" thickTop="1" x14ac:dyDescent="0.25"/>
    <row r="46" spans="2:8" ht="16.5" hidden="1" thickTop="1" thickBot="1" x14ac:dyDescent="0.3">
      <c r="D46" s="13" t="s">
        <v>51</v>
      </c>
      <c r="F46" s="78">
        <f>(IF(F11="",0,E11*$C$11)+IF(F12="",0,E12*$C$12)+IF(F13="",0,E13*$C$13)+IF(F14="",0,E14*$C$14)+IF(F15="",0,E15*$C$15)+IF(F16="",0,E16*$C$16)+IF(F17="",0,E17*$C$17)+IF(F18="",0,E18*$C$18)+IF(F19="",0,E19*$C$19)+IF(F20="",0,E20*$C$20))-($C$7*0.9)</f>
        <v>0</v>
      </c>
      <c r="H46" s="78">
        <f>(IF(H11="",0,G11*$C$11)+IF(H12="",0,G12*$C$12)+IF(H13="",0,G13*$C$13)+IF(H14="",0,G14*$C$14)+IF(H15="",0,G15*$C$15)+IF(H16="",0,G16*$C$16)+IF(H17="",0,G17*$C$17)+IF(H18="",0,G18*$C$18)+IF(H19="",0,G19*$C$19)+IF(H20="",0,G20*$C$20))-($C$7*0.9)</f>
        <v>0</v>
      </c>
    </row>
  </sheetData>
  <conditionalFormatting sqref="F46 H46">
    <cfRule type="cellIs" dxfId="11" priority="3" operator="lessThan">
      <formula>0</formula>
    </cfRule>
    <cfRule type="cellIs" dxfId="10" priority="4" operator="greaterThan">
      <formula>0</formula>
    </cfRule>
  </conditionalFormatting>
  <conditionalFormatting sqref="F24 H24">
    <cfRule type="cellIs" dxfId="9" priority="5" operator="lessThan">
      <formula>0</formula>
    </cfRule>
    <cfRule type="cellIs" dxfId="8" priority="6" operator="greaterThan">
      <formula>0</formula>
    </cfRule>
  </conditionalFormatting>
  <conditionalFormatting sqref="F23 H23">
    <cfRule type="containsText" dxfId="7" priority="1" operator="containsText" text="yes">
      <formula>NOT(ISERROR(SEARCH("yes",F23)))</formula>
    </cfRule>
    <cfRule type="containsText" dxfId="6" priority="2" operator="containsText" text="No">
      <formula>NOT(ISERROR(SEARCH("No",F23)))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FDDC754-AD5E-4946-B9A7-ABAAD8A92AD3}">
          <x14:formula1>
            <xm:f>'BMP List'!$A$1:$A$22</xm:f>
          </x14:formula1>
          <xm:sqref>B11:B20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F1637-575D-432E-9C2A-AB585FE58097}">
  <sheetPr>
    <tabColor theme="8" tint="-0.249977111117893"/>
  </sheetPr>
  <dimension ref="A1:H46"/>
  <sheetViews>
    <sheetView zoomScale="80" zoomScaleNormal="80" workbookViewId="0">
      <selection activeCell="G38" sqref="G38"/>
    </sheetView>
  </sheetViews>
  <sheetFormatPr defaultColWidth="9.140625" defaultRowHeight="15" x14ac:dyDescent="0.25"/>
  <cols>
    <col min="1" max="1" width="11.7109375" style="47" customWidth="1"/>
    <col min="2" max="2" width="50.85546875" style="47" bestFit="1" customWidth="1"/>
    <col min="3" max="3" width="32.85546875" style="47" bestFit="1" customWidth="1"/>
    <col min="4" max="4" width="39.5703125" style="47" customWidth="1"/>
    <col min="5" max="5" width="13.85546875" style="47" bestFit="1" customWidth="1"/>
    <col min="6" max="6" width="24.28515625" style="47" customWidth="1"/>
    <col min="7" max="7" width="15.140625" style="47" bestFit="1" customWidth="1"/>
    <col min="8" max="8" width="24.28515625" style="47" customWidth="1"/>
    <col min="9" max="16384" width="9.140625" style="47"/>
  </cols>
  <sheetData>
    <row r="1" spans="1:8" x14ac:dyDescent="0.25">
      <c r="B1" s="48" t="s">
        <v>30</v>
      </c>
      <c r="C1" s="24"/>
    </row>
    <row r="3" spans="1:8" x14ac:dyDescent="0.25">
      <c r="B3" s="48" t="s">
        <v>27</v>
      </c>
      <c r="C3" s="24">
        <v>0</v>
      </c>
    </row>
    <row r="4" spans="1:8" s="51" customFormat="1" ht="4.5" customHeight="1" x14ac:dyDescent="0.25">
      <c r="B4" s="49"/>
      <c r="C4" s="50"/>
    </row>
    <row r="5" spans="1:8" x14ac:dyDescent="0.25">
      <c r="B5" s="48" t="s">
        <v>11</v>
      </c>
      <c r="C5" s="25">
        <f>C3*43560</f>
        <v>0</v>
      </c>
      <c r="F5" s="75"/>
    </row>
    <row r="6" spans="1:8" ht="5.0999999999999996" customHeight="1" thickBot="1" x14ac:dyDescent="0.3">
      <c r="C6" s="52"/>
    </row>
    <row r="7" spans="1:8" ht="15.75" thickBot="1" x14ac:dyDescent="0.3">
      <c r="B7" s="53" t="s">
        <v>13</v>
      </c>
      <c r="C7" s="5">
        <f>C5/24</f>
        <v>0</v>
      </c>
    </row>
    <row r="9" spans="1:8" ht="15.75" thickBot="1" x14ac:dyDescent="0.3"/>
    <row r="10" spans="1:8" ht="30" x14ac:dyDescent="0.25">
      <c r="A10" s="32" t="s">
        <v>47</v>
      </c>
      <c r="B10" s="32" t="s">
        <v>14</v>
      </c>
      <c r="C10" s="18" t="s">
        <v>15</v>
      </c>
      <c r="D10" s="18" t="s">
        <v>16</v>
      </c>
      <c r="E10" s="18" t="s">
        <v>28</v>
      </c>
      <c r="F10" s="18" t="s">
        <v>25</v>
      </c>
      <c r="G10" s="19" t="s">
        <v>29</v>
      </c>
      <c r="H10" s="19" t="s">
        <v>26</v>
      </c>
    </row>
    <row r="11" spans="1:8" ht="15" customHeight="1" x14ac:dyDescent="0.25">
      <c r="A11" s="8"/>
      <c r="B11" s="8" t="s">
        <v>0</v>
      </c>
      <c r="C11" s="76" t="str">
        <f>IF(B11="Stormwater Reuse (Square Feet)",IF('Stormwater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Calculations'!$E$30))),VLOOKUP(B11,'BMP List'!$A:$F,6,FALSE))</f>
        <v>(Enter BMP Details Here)</v>
      </c>
      <c r="D11" s="29" t="str">
        <f>VLOOKUP(B11,'BMP List'!$A:$E,5,FALSE)</f>
        <v>Unit</v>
      </c>
      <c r="E11" s="28" t="str">
        <f>IF(ISERROR(VLOOKUP($B11,'BMP List'!A:C,3,FALSE)),"",VLOOKUP($B11,'BMP List'!A:C,3,FALSE))</f>
        <v>TP Credit</v>
      </c>
      <c r="F11" s="27" t="str">
        <f>IF(ISERROR(C11*E11),"",IF(B11="Disconnecting Impervious Surface (Square Feet)",IF((1/24*C11)&lt;($C$7),1/24*E11*C11,$C$7*E11),IF(B11="Underground Storage 1.5x (Cubic Feet)",IF(C11/1.5&gt;$C$7,$C$7*E11,C11/1.5*E11),IF(C11&gt;$C$7,$C$7*E11,C11*E11))))</f>
        <v/>
      </c>
      <c r="G11" s="30" t="str">
        <f>IF(ISERROR((VLOOKUP($B11,'BMP List'!$A:$D,4,FALSE))),"",VLOOKUP($B11,'BMP List'!$A:$D,4,FALSE))</f>
        <v>TSS Credit</v>
      </c>
      <c r="H11" s="33" t="str">
        <f>IF(ISERROR(C11*G11),"",IF(B11="Hydrodynamic Separator (Square Feet)",IF((1/24*G11*C11)&lt;($C$7*G11),1/24*G11*C11,$C$7*G11),IF(B11="Disconnecting Impervious Surface (Square Feet)",IF((1/24*G11*C11)&lt;($C$7*G11),1/24*G11*C11,$C$7*G11),IF(B11="Underground Storage 1.5x (Cubic Feet)",IF(C11/1.5&gt;$C$7,$C$7*E11,C11/1.5*E11),IF(C11&gt;$C$7,$C$7*G11,C11*G11)))))</f>
        <v/>
      </c>
    </row>
    <row r="12" spans="1:8" x14ac:dyDescent="0.25">
      <c r="A12" s="8"/>
      <c r="B12" s="8" t="s">
        <v>0</v>
      </c>
      <c r="C12" s="76" t="str">
        <f>IF(B12="Stormwater Reuse (Square Feet)",IF('Stormwater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Calculations'!$E$30))),VLOOKUP(B12,'BMP List'!$A:$F,6,FALSE))</f>
        <v>(Enter BMP Details Here)</v>
      </c>
      <c r="D12" s="29" t="str">
        <f>VLOOKUP(B12,'BMP List'!$A:$E,5,FALSE)</f>
        <v>Unit</v>
      </c>
      <c r="E12" s="28" t="str">
        <f>IF(ISERROR(VLOOKUP($B12,'BMP List'!A:C,3,FALSE)),"",VLOOKUP($B12,'BMP List'!A:C,3,FALSE))</f>
        <v>TP Credit</v>
      </c>
      <c r="F12" s="27" t="str">
        <f t="shared" ref="F12:F20" si="0">IF(ISERROR(C12*E12),"",IF(B12="Disconnecting Impervious Surface (Square Feet)",IF((1/24*C12)&lt;($C$7),1/24*E12*C12,$C$7*E12),IF(B12="Underground Storage 1.5x (Cubic Feet)",IF(C12/1.5&gt;$C$7,$C$7*E12,C12/1.5*E12),IF(C12&gt;$C$7,$C$7*E12,C12*E12))))</f>
        <v/>
      </c>
      <c r="G12" s="30" t="str">
        <f>IF(ISERROR((VLOOKUP($B12,'BMP List'!$A:$D,4,FALSE))),"",VLOOKUP($B12,'BMP List'!$A:$D,4,FALSE))</f>
        <v>TSS Credit</v>
      </c>
      <c r="H12" s="33" t="str">
        <f t="shared" ref="H12:H20" si="1">IF(ISERROR(C12*G12),"",IF(B12="Hydrodynamic Separator (Square Feet)",IF((1/24*G12*C12)&lt;($C$7*G12),1/24*G12*C12,$C$7*G12),IF(B12="Disconnecting Impervious Surface (Square Feet)",IF((1/24*G12*C12)&lt;($C$7*G12),1/24*G12*C12,$C$7*G12),IF(B12="Underground Storage 1.5x (Cubic Feet)",IF(C12/1.5&gt;$C$7,$C$7*E12,C12/1.5*E12),IF(C12&gt;$C$7,$C$7*G12,C12*G12)))))</f>
        <v/>
      </c>
    </row>
    <row r="13" spans="1:8" ht="15" customHeight="1" x14ac:dyDescent="0.25">
      <c r="A13" s="8"/>
      <c r="B13" s="8" t="s">
        <v>0</v>
      </c>
      <c r="C13" s="76" t="str">
        <f>IF(B13="Stormwater Reuse (Square Feet)",IF('Stormwater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Calculations'!$E$30))),VLOOKUP(B13,'BMP List'!$A:$F,6,FALSE))</f>
        <v>(Enter BMP Details Here)</v>
      </c>
      <c r="D13" s="29" t="str">
        <f>VLOOKUP(B13,'BMP List'!$A:$E,5,FALSE)</f>
        <v>Unit</v>
      </c>
      <c r="E13" s="28" t="str">
        <f>IF(ISERROR(VLOOKUP($B13,'BMP List'!A:C,3,FALSE)),"",VLOOKUP($B13,'BMP List'!A:C,3,FALSE))</f>
        <v>TP Credit</v>
      </c>
      <c r="F13" s="27" t="str">
        <f t="shared" si="0"/>
        <v/>
      </c>
      <c r="G13" s="30" t="str">
        <f>IF(ISERROR((VLOOKUP($B13,'BMP List'!$A:$D,4,FALSE))),"",VLOOKUP($B13,'BMP List'!$A:$D,4,FALSE))</f>
        <v>TSS Credit</v>
      </c>
      <c r="H13" s="33" t="str">
        <f t="shared" si="1"/>
        <v/>
      </c>
    </row>
    <row r="14" spans="1:8" x14ac:dyDescent="0.25">
      <c r="A14" s="8"/>
      <c r="B14" s="8" t="s">
        <v>0</v>
      </c>
      <c r="C14" s="76" t="str">
        <f>IF(B14="Stormwater Reuse (Square Feet)",IF('Stormwater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Calculations'!$E$30))),VLOOKUP(B14,'BMP List'!$A:$F,6,FALSE))</f>
        <v>(Enter BMP Details Here)</v>
      </c>
      <c r="D14" s="29" t="str">
        <f>VLOOKUP(B14,'BMP List'!$A:$E,5,FALSE)</f>
        <v>Unit</v>
      </c>
      <c r="E14" s="28" t="str">
        <f>IF(ISERROR(VLOOKUP($B14,'BMP List'!A:C,3,FALSE)),"",VLOOKUP($B14,'BMP List'!A:C,3,FALSE))</f>
        <v>TP Credit</v>
      </c>
      <c r="F14" s="27" t="str">
        <f t="shared" si="0"/>
        <v/>
      </c>
      <c r="G14" s="30" t="str">
        <f>IF(ISERROR((VLOOKUP($B14,'BMP List'!$A:$D,4,FALSE))),"",VLOOKUP($B14,'BMP List'!$A:$D,4,FALSE))</f>
        <v>TSS Credit</v>
      </c>
      <c r="H14" s="33" t="str">
        <f t="shared" si="1"/>
        <v/>
      </c>
    </row>
    <row r="15" spans="1:8" x14ac:dyDescent="0.25">
      <c r="A15" s="8"/>
      <c r="B15" s="8" t="s">
        <v>0</v>
      </c>
      <c r="C15" s="76" t="str">
        <f>IF(B15="Stormwater Reuse (Square Feet)",IF('Stormwater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Calculations'!$E$30))),VLOOKUP(B15,'BMP List'!$A:$F,6,FALSE))</f>
        <v>(Enter BMP Details Here)</v>
      </c>
      <c r="D15" s="29" t="str">
        <f>VLOOKUP(B15,'BMP List'!$A:$E,5,FALSE)</f>
        <v>Unit</v>
      </c>
      <c r="E15" s="28" t="str">
        <f>IF(ISERROR(VLOOKUP($B15,'BMP List'!A:C,3,FALSE)),"",VLOOKUP($B15,'BMP List'!A:C,3,FALSE))</f>
        <v>TP Credit</v>
      </c>
      <c r="F15" s="27" t="str">
        <f t="shared" si="0"/>
        <v/>
      </c>
      <c r="G15" s="30" t="str">
        <f>IF(ISERROR((VLOOKUP($B15,'BMP List'!$A:$D,4,FALSE))),"",VLOOKUP($B15,'BMP List'!$A:$D,4,FALSE))</f>
        <v>TSS Credit</v>
      </c>
      <c r="H15" s="33" t="str">
        <f t="shared" si="1"/>
        <v/>
      </c>
    </row>
    <row r="16" spans="1:8" x14ac:dyDescent="0.25">
      <c r="A16" s="8"/>
      <c r="B16" s="8" t="s">
        <v>0</v>
      </c>
      <c r="C16" s="76" t="str">
        <f>IF(B16="Stormwater Reuse (Square Feet)",IF('Stormwater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Calculations'!$E$30))),VLOOKUP(B16,'BMP List'!$A:$F,6,FALSE))</f>
        <v>(Enter BMP Details Here)</v>
      </c>
      <c r="D16" s="29" t="str">
        <f>VLOOKUP(B16,'BMP List'!$A:$E,5,FALSE)</f>
        <v>Unit</v>
      </c>
      <c r="E16" s="28" t="str">
        <f>IF(ISERROR(VLOOKUP($B16,'BMP List'!A:C,3,FALSE)),"",VLOOKUP($B16,'BMP List'!A:C,3,FALSE))</f>
        <v>TP Credit</v>
      </c>
      <c r="F16" s="27" t="str">
        <f t="shared" si="0"/>
        <v/>
      </c>
      <c r="G16" s="30" t="str">
        <f>IF(ISERROR((VLOOKUP($B16,'BMP List'!$A:$D,4,FALSE))),"",VLOOKUP($B16,'BMP List'!$A:$D,4,FALSE))</f>
        <v>TSS Credit</v>
      </c>
      <c r="H16" s="33" t="str">
        <f t="shared" si="1"/>
        <v/>
      </c>
    </row>
    <row r="17" spans="1:8" x14ac:dyDescent="0.25">
      <c r="A17" s="8"/>
      <c r="B17" s="8" t="s">
        <v>0</v>
      </c>
      <c r="C17" s="76" t="str">
        <f>IF(B17="Stormwater Reuse (Square Feet)",IF('Stormwater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Calculations'!$E$30))),VLOOKUP(B17,'BMP List'!$A:$F,6,FALSE))</f>
        <v>(Enter BMP Details Here)</v>
      </c>
      <c r="D17" s="29" t="str">
        <f>VLOOKUP(B17,'BMP List'!$A:$E,5,FALSE)</f>
        <v>Unit</v>
      </c>
      <c r="E17" s="28" t="str">
        <f>IF(ISERROR(VLOOKUP($B17,'BMP List'!A:C,3,FALSE)),"",VLOOKUP($B17,'BMP List'!A:C,3,FALSE))</f>
        <v>TP Credit</v>
      </c>
      <c r="F17" s="27" t="str">
        <f t="shared" si="0"/>
        <v/>
      </c>
      <c r="G17" s="30" t="str">
        <f>IF(ISERROR((VLOOKUP($B17,'BMP List'!$A:$D,4,FALSE))),"",VLOOKUP($B17,'BMP List'!$A:$D,4,FALSE))</f>
        <v>TSS Credit</v>
      </c>
      <c r="H17" s="33" t="str">
        <f t="shared" si="1"/>
        <v/>
      </c>
    </row>
    <row r="18" spans="1:8" x14ac:dyDescent="0.25">
      <c r="A18" s="8"/>
      <c r="B18" s="8" t="s">
        <v>0</v>
      </c>
      <c r="C18" s="76" t="str">
        <f>IF(B18="Stormwater Reuse (Square Feet)",IF('Stormwater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Calculations'!$E$30))),VLOOKUP(B18,'BMP List'!$A:$F,6,FALSE))</f>
        <v>(Enter BMP Details Here)</v>
      </c>
      <c r="D18" s="29" t="str">
        <f>VLOOKUP(B18,'BMP List'!$A:$E,5,FALSE)</f>
        <v>Unit</v>
      </c>
      <c r="E18" s="28" t="str">
        <f>IF(ISERROR(VLOOKUP($B18,'BMP List'!A:C,3,FALSE)),"",VLOOKUP($B18,'BMP List'!A:C,3,FALSE))</f>
        <v>TP Credit</v>
      </c>
      <c r="F18" s="27" t="str">
        <f t="shared" si="0"/>
        <v/>
      </c>
      <c r="G18" s="30" t="str">
        <f>IF(ISERROR((VLOOKUP($B18,'BMP List'!$A:$D,4,FALSE))),"",VLOOKUP($B18,'BMP List'!$A:$D,4,FALSE))</f>
        <v>TSS Credit</v>
      </c>
      <c r="H18" s="33" t="str">
        <f t="shared" si="1"/>
        <v/>
      </c>
    </row>
    <row r="19" spans="1:8" ht="15" customHeight="1" x14ac:dyDescent="0.25">
      <c r="A19" s="8"/>
      <c r="B19" s="8" t="s">
        <v>0</v>
      </c>
      <c r="C19" s="76" t="str">
        <f>IF(B19="Stormwater Reuse (Square Feet)",IF('Stormwater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Calculations'!$E$30))),VLOOKUP(B19,'BMP List'!$A:$F,6,FALSE))</f>
        <v>(Enter BMP Details Here)</v>
      </c>
      <c r="D19" s="29" t="str">
        <f>VLOOKUP(B19,'BMP List'!$A:$E,5,FALSE)</f>
        <v>Unit</v>
      </c>
      <c r="E19" s="28" t="str">
        <f>IF(ISERROR(VLOOKUP($B19,'BMP List'!A:C,3,FALSE)),"",VLOOKUP($B19,'BMP List'!A:C,3,FALSE))</f>
        <v>TP Credit</v>
      </c>
      <c r="F19" s="27" t="str">
        <f t="shared" si="0"/>
        <v/>
      </c>
      <c r="G19" s="30" t="str">
        <f>IF(ISERROR((VLOOKUP($B19,'BMP List'!$A:$D,4,FALSE))),"",VLOOKUP($B19,'BMP List'!$A:$D,4,FALSE))</f>
        <v>TSS Credit</v>
      </c>
      <c r="H19" s="33" t="str">
        <f t="shared" si="1"/>
        <v/>
      </c>
    </row>
    <row r="20" spans="1:8" ht="15.75" thickBot="1" x14ac:dyDescent="0.3">
      <c r="A20" s="10"/>
      <c r="B20" s="10" t="s">
        <v>0</v>
      </c>
      <c r="C20" s="77" t="str">
        <f>IF(B20="Stormwater Reuse (Square Feet)",IF('Stormwater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Calculations'!$E$30))),VLOOKUP(B20,'BMP List'!$A:$F,6,FALSE))</f>
        <v>(Enter BMP Details Here)</v>
      </c>
      <c r="D20" s="34" t="str">
        <f>VLOOKUP(B20,'BMP List'!$A:$E,5,FALSE)</f>
        <v>Unit</v>
      </c>
      <c r="E20" s="35" t="str">
        <f>IF(ISERROR(VLOOKUP($B20,'BMP List'!A:C,3,FALSE)),"",VLOOKUP($B20,'BMP List'!A:C,3,FALSE))</f>
        <v>TP Credit</v>
      </c>
      <c r="F20" s="83" t="str">
        <f t="shared" si="0"/>
        <v/>
      </c>
      <c r="G20" s="44" t="str">
        <f>IF(ISERROR((VLOOKUP($B20,'BMP List'!$A:$D,4,FALSE))),"",VLOOKUP($B20,'BMP List'!$A:$D,4,FALSE))</f>
        <v>TSS Credit</v>
      </c>
      <c r="H20" s="36" t="str">
        <f t="shared" si="1"/>
        <v/>
      </c>
    </row>
    <row r="21" spans="1:8" ht="15.75" thickBot="1" x14ac:dyDescent="0.3">
      <c r="B21" s="63"/>
      <c r="C21" s="63"/>
      <c r="D21" s="31" t="s">
        <v>17</v>
      </c>
      <c r="F21" s="26">
        <f>SUM(F11:F20)</f>
        <v>0</v>
      </c>
      <c r="H21" s="26">
        <f>SUM(H11:H20)</f>
        <v>0</v>
      </c>
    </row>
    <row r="22" spans="1:8" ht="16.5" customHeight="1" thickTop="1" thickBot="1" x14ac:dyDescent="0.3">
      <c r="D22" s="12" t="s">
        <v>18</v>
      </c>
      <c r="F22" s="20" t="e">
        <f>IF((F21/($C$7*0.9))&gt;1,"&gt;100%",F21/($C$7*0.9))</f>
        <v>#DIV/0!</v>
      </c>
      <c r="H22" s="20" t="e">
        <f>IF((H21/($C$7*0.9))&gt;1,"&gt;100%",H21/($C$7*0.9))</f>
        <v>#DIV/0!</v>
      </c>
    </row>
    <row r="23" spans="1:8" ht="16.5" thickTop="1" thickBot="1" x14ac:dyDescent="0.3">
      <c r="D23" s="12" t="s">
        <v>24</v>
      </c>
      <c r="F23" s="12" t="e">
        <f>IF(F22&gt;=100%,"YES","NO")</f>
        <v>#DIV/0!</v>
      </c>
      <c r="H23" s="12" t="e">
        <f>IF(H22&gt;=100%,"YES","NO")</f>
        <v>#DIV/0!</v>
      </c>
    </row>
    <row r="24" spans="1:8" ht="15.75" thickTop="1" x14ac:dyDescent="0.25">
      <c r="D24" s="79"/>
      <c r="E24" s="70"/>
      <c r="F24" s="80"/>
      <c r="G24" s="70"/>
      <c r="H24" s="80"/>
    </row>
    <row r="25" spans="1:8" x14ac:dyDescent="0.25">
      <c r="F25" s="56"/>
    </row>
    <row r="32" spans="1:8" ht="23.25" x14ac:dyDescent="0.25">
      <c r="B32" s="45" t="s">
        <v>19</v>
      </c>
    </row>
    <row r="34" spans="2:8" ht="23.25" x14ac:dyDescent="0.25">
      <c r="B34" s="72" t="s">
        <v>20</v>
      </c>
    </row>
    <row r="35" spans="2:8" ht="15.75" thickBot="1" x14ac:dyDescent="0.3"/>
    <row r="36" spans="2:8" ht="24.75" thickTop="1" thickBot="1" x14ac:dyDescent="0.3">
      <c r="B36" s="73" t="s">
        <v>21</v>
      </c>
    </row>
    <row r="37" spans="2:8" ht="15.75" thickTop="1" x14ac:dyDescent="0.25"/>
    <row r="46" spans="2:8" ht="16.5" hidden="1" thickTop="1" thickBot="1" x14ac:dyDescent="0.3">
      <c r="D46" s="13" t="s">
        <v>51</v>
      </c>
      <c r="F46" s="78">
        <f>(IF(F11="",0,E11*$C$11)+IF(F12="",0,E12*$C$12)+IF(F13="",0,E13*$C$13)+IF(F14="",0,E14*$C$14)+IF(F15="",0,E15*$C$15)+IF(F16="",0,E16*$C$16)+IF(F17="",0,E17*$C$17)+IF(F18="",0,E18*$C$18)+IF(F19="",0,E19*$C$19)+IF(F20="",0,E20*$C$20))-($C$7*0.9)</f>
        <v>0</v>
      </c>
      <c r="H46" s="78">
        <f>(IF(H11="",0,G11*$C$11)+IF(H12="",0,G12*$C$12)+IF(H13="",0,G13*$C$13)+IF(H14="",0,G14*$C$14)+IF(H15="",0,G15*$C$15)+IF(H16="",0,G16*$C$16)+IF(H17="",0,G17*$C$17)+IF(H18="",0,G18*$C$18)+IF(H19="",0,G19*$C$19)+IF(H20="",0,G20*$C$20))-($C$7*0.9)</f>
        <v>0</v>
      </c>
    </row>
  </sheetData>
  <conditionalFormatting sqref="F46 H46">
    <cfRule type="cellIs" dxfId="5" priority="3" operator="lessThan">
      <formula>0</formula>
    </cfRule>
    <cfRule type="cellIs" dxfId="4" priority="4" operator="greaterThan">
      <formula>0</formula>
    </cfRule>
  </conditionalFormatting>
  <conditionalFormatting sqref="F24 H24">
    <cfRule type="cellIs" dxfId="3" priority="5" operator="lessThan">
      <formula>0</formula>
    </cfRule>
    <cfRule type="cellIs" dxfId="2" priority="6" operator="greaterThan">
      <formula>0</formula>
    </cfRule>
  </conditionalFormatting>
  <conditionalFormatting sqref="F23 H23">
    <cfRule type="containsText" dxfId="1" priority="1" operator="containsText" text="yes">
      <formula>NOT(ISERROR(SEARCH("yes",F23)))</formula>
    </cfRule>
    <cfRule type="containsText" dxfId="0" priority="2" operator="containsText" text="No">
      <formula>NOT(ISERROR(SEARCH("No",F23)))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565EB14-EDBD-4463-99A4-DED5F3EEBA0A}">
          <x14:formula1>
            <xm:f>'BMP List'!$A$1:$A$22</xm:f>
          </x14:formula1>
          <xm:sqref>B11:B20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 tint="-0.14999847407452621"/>
  </sheetPr>
  <dimension ref="A1:G23"/>
  <sheetViews>
    <sheetView workbookViewId="0">
      <selection activeCell="A29" sqref="A29"/>
    </sheetView>
  </sheetViews>
  <sheetFormatPr defaultRowHeight="15" x14ac:dyDescent="0.25"/>
  <cols>
    <col min="1" max="1" width="61.42578125" bestFit="1" customWidth="1"/>
    <col min="2" max="7" width="25.7109375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22</v>
      </c>
    </row>
    <row r="2" spans="1:7" x14ac:dyDescent="0.25">
      <c r="A2" t="s">
        <v>7</v>
      </c>
      <c r="B2" s="1">
        <f>0.5*(1/12)</f>
        <v>4.1666666666666664E-2</v>
      </c>
      <c r="C2" s="43">
        <v>0</v>
      </c>
      <c r="D2" s="43">
        <v>0</v>
      </c>
      <c r="E2" t="s">
        <v>8</v>
      </c>
      <c r="F2" t="s">
        <v>9</v>
      </c>
      <c r="G2" t="s">
        <v>10</v>
      </c>
    </row>
    <row r="3" spans="1:7" x14ac:dyDescent="0.25">
      <c r="A3" t="s">
        <v>49</v>
      </c>
      <c r="B3" s="1">
        <v>0</v>
      </c>
      <c r="C3" s="43">
        <v>0.75</v>
      </c>
      <c r="D3" s="43">
        <v>0.9</v>
      </c>
      <c r="E3" t="s">
        <v>5</v>
      </c>
      <c r="F3" t="s">
        <v>6</v>
      </c>
    </row>
    <row r="4" spans="1:7" x14ac:dyDescent="0.25">
      <c r="A4" t="s">
        <v>48</v>
      </c>
      <c r="B4" s="1">
        <v>0.4</v>
      </c>
      <c r="C4" s="43">
        <v>0.75</v>
      </c>
      <c r="D4" s="43">
        <v>0.9</v>
      </c>
      <c r="E4" t="s">
        <v>5</v>
      </c>
      <c r="F4" t="s">
        <v>6</v>
      </c>
    </row>
    <row r="5" spans="1:7" x14ac:dyDescent="0.25">
      <c r="A5" t="s">
        <v>53</v>
      </c>
      <c r="B5" s="1">
        <v>0.4</v>
      </c>
      <c r="C5" s="43">
        <v>0.75</v>
      </c>
      <c r="D5" s="43">
        <v>0.9</v>
      </c>
      <c r="E5" t="s">
        <v>5</v>
      </c>
      <c r="F5" t="s">
        <v>6</v>
      </c>
    </row>
    <row r="6" spans="1:7" x14ac:dyDescent="0.25">
      <c r="A6" t="s">
        <v>54</v>
      </c>
      <c r="B6" s="1">
        <v>0</v>
      </c>
      <c r="C6" s="43">
        <v>0.45</v>
      </c>
      <c r="D6" s="43">
        <v>0.75</v>
      </c>
      <c r="E6" t="s">
        <v>8</v>
      </c>
      <c r="F6" t="s">
        <v>9</v>
      </c>
    </row>
    <row r="7" spans="1:7" x14ac:dyDescent="0.25">
      <c r="A7" t="s">
        <v>55</v>
      </c>
      <c r="B7" s="1">
        <v>0</v>
      </c>
      <c r="C7" s="43">
        <v>0</v>
      </c>
      <c r="D7" s="43">
        <v>0.5</v>
      </c>
      <c r="E7" t="s">
        <v>8</v>
      </c>
      <c r="F7" t="s">
        <v>9</v>
      </c>
    </row>
    <row r="8" spans="1:7" x14ac:dyDescent="0.25">
      <c r="A8" t="s">
        <v>68</v>
      </c>
      <c r="B8" s="1">
        <v>0.8</v>
      </c>
      <c r="C8" s="43">
        <v>1</v>
      </c>
      <c r="D8" s="43">
        <v>1</v>
      </c>
      <c r="E8" t="s">
        <v>5</v>
      </c>
      <c r="F8" t="s">
        <v>6</v>
      </c>
    </row>
    <row r="9" spans="1:7" x14ac:dyDescent="0.25">
      <c r="A9" t="s">
        <v>58</v>
      </c>
      <c r="B9" s="1">
        <v>0</v>
      </c>
      <c r="C9" s="43">
        <v>0.9</v>
      </c>
      <c r="D9" s="43">
        <v>0.9</v>
      </c>
      <c r="E9" t="s">
        <v>5</v>
      </c>
      <c r="F9" t="s">
        <v>6</v>
      </c>
    </row>
    <row r="10" spans="1:7" x14ac:dyDescent="0.25">
      <c r="A10" t="s">
        <v>59</v>
      </c>
      <c r="B10" s="1">
        <v>0.4</v>
      </c>
      <c r="C10" s="43">
        <v>0.9</v>
      </c>
      <c r="D10" s="43">
        <v>0.9</v>
      </c>
      <c r="E10" t="s">
        <v>5</v>
      </c>
      <c r="F10" t="s">
        <v>6</v>
      </c>
    </row>
    <row r="11" spans="1:7" x14ac:dyDescent="0.25">
      <c r="A11" t="s">
        <v>57</v>
      </c>
      <c r="B11" s="1">
        <v>0.5</v>
      </c>
      <c r="C11" s="43">
        <v>0.75</v>
      </c>
      <c r="D11" s="43">
        <v>0.9</v>
      </c>
      <c r="E11" t="s">
        <v>5</v>
      </c>
      <c r="F11" t="s">
        <v>6</v>
      </c>
    </row>
    <row r="12" spans="1:7" x14ac:dyDescent="0.25">
      <c r="A12" t="s">
        <v>65</v>
      </c>
      <c r="B12" s="1">
        <v>0</v>
      </c>
      <c r="C12" s="43">
        <v>0.4</v>
      </c>
      <c r="D12" s="43">
        <v>0.65</v>
      </c>
      <c r="E12" t="s">
        <v>5</v>
      </c>
      <c r="F12" t="s">
        <v>6</v>
      </c>
    </row>
    <row r="13" spans="1:7" x14ac:dyDescent="0.25">
      <c r="A13" t="s">
        <v>67</v>
      </c>
      <c r="B13" s="1">
        <v>0</v>
      </c>
      <c r="C13" s="43">
        <v>0.75</v>
      </c>
      <c r="D13" s="43">
        <v>0.8</v>
      </c>
      <c r="E13" t="s">
        <v>5</v>
      </c>
      <c r="F13" t="s">
        <v>6</v>
      </c>
    </row>
    <row r="14" spans="1:7" x14ac:dyDescent="0.25">
      <c r="A14" t="s">
        <v>64</v>
      </c>
      <c r="B14" s="1">
        <v>0</v>
      </c>
      <c r="C14" s="43">
        <v>0.6</v>
      </c>
      <c r="D14" s="43">
        <v>0.8</v>
      </c>
      <c r="E14" t="s">
        <v>5</v>
      </c>
      <c r="F14" t="s">
        <v>6</v>
      </c>
    </row>
    <row r="15" spans="1:7" x14ac:dyDescent="0.25">
      <c r="A15" t="s">
        <v>66</v>
      </c>
      <c r="B15" s="1">
        <v>0</v>
      </c>
      <c r="C15" s="43">
        <v>0.9</v>
      </c>
      <c r="D15" s="43">
        <v>0.9</v>
      </c>
      <c r="E15" t="s">
        <v>5</v>
      </c>
      <c r="F15" t="s">
        <v>6</v>
      </c>
    </row>
    <row r="16" spans="1:7" x14ac:dyDescent="0.25">
      <c r="A16" t="s">
        <v>72</v>
      </c>
      <c r="B16" s="1">
        <f>0.25*(1/12)</f>
        <v>2.0833333333333332E-2</v>
      </c>
      <c r="C16" s="43">
        <v>0</v>
      </c>
      <c r="D16" s="43">
        <v>0</v>
      </c>
      <c r="E16" t="s">
        <v>8</v>
      </c>
      <c r="F16" t="s">
        <v>9</v>
      </c>
    </row>
    <row r="17" spans="1:6" x14ac:dyDescent="0.25">
      <c r="A17" t="s">
        <v>73</v>
      </c>
      <c r="B17" s="1">
        <f>0.5*(1/12)</f>
        <v>4.1666666666666664E-2</v>
      </c>
      <c r="C17" s="43">
        <v>0</v>
      </c>
      <c r="D17" s="43">
        <v>0</v>
      </c>
      <c r="E17" t="s">
        <v>8</v>
      </c>
      <c r="F17" t="s">
        <v>9</v>
      </c>
    </row>
    <row r="18" spans="1:6" x14ac:dyDescent="0.25">
      <c r="A18" t="s">
        <v>71</v>
      </c>
      <c r="B18" s="1">
        <f>0.5*(1/12)</f>
        <v>4.1666666666666664E-2</v>
      </c>
      <c r="C18" s="43">
        <v>0</v>
      </c>
      <c r="D18" s="43">
        <v>0</v>
      </c>
      <c r="E18" t="s">
        <v>8</v>
      </c>
      <c r="F18" t="s">
        <v>9</v>
      </c>
    </row>
    <row r="19" spans="1:6" x14ac:dyDescent="0.25">
      <c r="A19" t="s">
        <v>74</v>
      </c>
      <c r="B19" s="1">
        <f>(1/12)</f>
        <v>8.3333333333333329E-2</v>
      </c>
      <c r="C19" s="43">
        <v>0</v>
      </c>
      <c r="D19" s="43">
        <v>0</v>
      </c>
      <c r="E19" t="s">
        <v>8</v>
      </c>
      <c r="F19" t="s">
        <v>9</v>
      </c>
    </row>
    <row r="20" spans="1:6" x14ac:dyDescent="0.25">
      <c r="A20" t="s">
        <v>70</v>
      </c>
      <c r="B20" s="1">
        <v>0.5</v>
      </c>
      <c r="C20" s="43">
        <v>0</v>
      </c>
      <c r="D20" s="43">
        <v>0</v>
      </c>
      <c r="E20" t="s">
        <v>5</v>
      </c>
      <c r="F20" t="s">
        <v>6</v>
      </c>
    </row>
    <row r="21" spans="1:6" x14ac:dyDescent="0.25">
      <c r="A21" t="s">
        <v>56</v>
      </c>
      <c r="B21" s="1">
        <f>1*(1/12)</f>
        <v>8.3333333333333329E-2</v>
      </c>
      <c r="C21" s="43">
        <v>0</v>
      </c>
      <c r="D21" s="43">
        <v>0</v>
      </c>
      <c r="E21" t="s">
        <v>8</v>
      </c>
      <c r="F21" t="s">
        <v>9</v>
      </c>
    </row>
    <row r="22" spans="1:6" x14ac:dyDescent="0.25">
      <c r="A22" t="s">
        <v>69</v>
      </c>
      <c r="B22" s="1">
        <v>0</v>
      </c>
      <c r="C22" s="43">
        <v>0.9</v>
      </c>
      <c r="D22" s="43">
        <v>0.9</v>
      </c>
      <c r="E22" t="s">
        <v>5</v>
      </c>
      <c r="F22" t="s">
        <v>6</v>
      </c>
    </row>
    <row r="23" spans="1:6" x14ac:dyDescent="0.25">
      <c r="B23" s="1"/>
      <c r="C23" s="1"/>
      <c r="D23" s="1"/>
    </row>
  </sheetData>
  <autoFilter ref="A1:G18" xr:uid="{00000000-0009-0000-0000-00000E000000}">
    <sortState xmlns:xlrd2="http://schemas.microsoft.com/office/spreadsheetml/2017/richdata2" ref="A2:G23">
      <sortCondition ref="A1:A18"/>
    </sortState>
  </autoFilter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B7490-031E-4FB4-857A-2D29A4CC3847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39997558519241921"/>
    <pageSetUpPr fitToPage="1"/>
  </sheetPr>
  <dimension ref="A1:F44"/>
  <sheetViews>
    <sheetView zoomScale="80" zoomScaleNormal="80" workbookViewId="0">
      <selection activeCell="C15" sqref="C15"/>
    </sheetView>
  </sheetViews>
  <sheetFormatPr defaultColWidth="9.140625" defaultRowHeight="15" x14ac:dyDescent="0.25"/>
  <cols>
    <col min="1" max="1" width="9.140625" style="47"/>
    <col min="2" max="2" width="40.140625" style="47" bestFit="1" customWidth="1"/>
    <col min="3" max="3" width="32.85546875" style="47" bestFit="1" customWidth="1"/>
    <col min="4" max="4" width="16.5703125" style="47" customWidth="1"/>
    <col min="5" max="5" width="22.28515625" style="47" customWidth="1"/>
    <col min="6" max="6" width="22.7109375" style="47" customWidth="1"/>
    <col min="7" max="7" width="22.28515625" style="47" customWidth="1"/>
    <col min="8" max="16384" width="9.140625" style="47"/>
  </cols>
  <sheetData>
    <row r="1" spans="2:3" ht="21.75" thickBot="1" x14ac:dyDescent="0.4">
      <c r="B1" s="46" t="s">
        <v>45</v>
      </c>
      <c r="C1" s="74"/>
    </row>
    <row r="3" spans="2:3" x14ac:dyDescent="0.25">
      <c r="B3" s="48" t="s">
        <v>27</v>
      </c>
      <c r="C3" s="24"/>
    </row>
    <row r="4" spans="2:3" s="51" customFormat="1" ht="4.5" customHeight="1" x14ac:dyDescent="0.25">
      <c r="B4" s="49"/>
      <c r="C4" s="50"/>
    </row>
    <row r="5" spans="2:3" x14ac:dyDescent="0.25">
      <c r="B5" s="48" t="s">
        <v>11</v>
      </c>
      <c r="C5" s="25">
        <f>C3*43560</f>
        <v>0</v>
      </c>
    </row>
    <row r="6" spans="2:3" ht="5.0999999999999996" customHeight="1" thickBot="1" x14ac:dyDescent="0.3">
      <c r="C6" s="52"/>
    </row>
    <row r="7" spans="2:3" ht="15.75" thickBot="1" x14ac:dyDescent="0.3">
      <c r="B7" s="53" t="s">
        <v>32</v>
      </c>
      <c r="C7" s="38"/>
    </row>
    <row r="8" spans="2:3" ht="5.0999999999999996" customHeight="1" thickBot="1" x14ac:dyDescent="0.3">
      <c r="B8" s="54"/>
      <c r="C8" s="55"/>
    </row>
    <row r="9" spans="2:3" ht="15.75" thickBot="1" x14ac:dyDescent="0.3">
      <c r="B9" s="53" t="s">
        <v>31</v>
      </c>
      <c r="C9" s="24"/>
    </row>
    <row r="10" spans="2:3" ht="4.5" customHeight="1" thickBot="1" x14ac:dyDescent="0.3"/>
    <row r="11" spans="2:3" ht="15.75" thickBot="1" x14ac:dyDescent="0.3">
      <c r="B11" s="53" t="s">
        <v>39</v>
      </c>
      <c r="C11" s="38"/>
    </row>
    <row r="12" spans="2:3" ht="4.5" customHeight="1" thickBot="1" x14ac:dyDescent="0.3">
      <c r="C12" s="56"/>
    </row>
    <row r="13" spans="2:3" ht="15.75" thickBot="1" x14ac:dyDescent="0.3">
      <c r="B13" s="53" t="s">
        <v>40</v>
      </c>
      <c r="C13" s="38"/>
    </row>
    <row r="14" spans="2:3" ht="15.75" thickBot="1" x14ac:dyDescent="0.3"/>
    <row r="15" spans="2:3" ht="21.75" thickBot="1" x14ac:dyDescent="0.3">
      <c r="B15" s="82" t="s">
        <v>63</v>
      </c>
      <c r="C15" s="81" t="b">
        <f>IF(C11&gt;0,IF(E25="Yes",C21,F29),IF(C13&gt;0,IF(E26="Yes",C21,F30)))</f>
        <v>0</v>
      </c>
    </row>
    <row r="19" spans="1:6" ht="15.75" thickBot="1" x14ac:dyDescent="0.3"/>
    <row r="20" spans="1:6" ht="30.75" thickBot="1" x14ac:dyDescent="0.3">
      <c r="A20" s="32" t="s">
        <v>47</v>
      </c>
      <c r="B20" s="32" t="s">
        <v>33</v>
      </c>
      <c r="C20" s="18" t="s">
        <v>41</v>
      </c>
      <c r="D20" s="18" t="s">
        <v>34</v>
      </c>
      <c r="E20" s="57" t="s">
        <v>35</v>
      </c>
      <c r="F20" s="58" t="s">
        <v>36</v>
      </c>
    </row>
    <row r="21" spans="1:6" s="60" customFormat="1" ht="15.75" thickBot="1" x14ac:dyDescent="0.3">
      <c r="A21" s="42"/>
      <c r="B21" s="59" t="str">
        <f>IF(($C$5*0.5/12)&gt;($C$7*($C$9/12)),"Irrigation Area","Impervious Surface")</f>
        <v>Impervious Surface</v>
      </c>
      <c r="C21" s="39">
        <f>IF((C5*1/12)&gt;(C7*(C9/12)),C7*(C9/12),C5*1/12)</f>
        <v>0</v>
      </c>
      <c r="D21" s="40" t="e">
        <f>C21/($C$9/12)</f>
        <v>#DIV/0!</v>
      </c>
      <c r="E21" s="40">
        <f>C21*4</f>
        <v>0</v>
      </c>
      <c r="F21" s="41">
        <f>C21*1</f>
        <v>0</v>
      </c>
    </row>
    <row r="22" spans="1:6" x14ac:dyDescent="0.25">
      <c r="B22" s="61"/>
      <c r="C22" s="62"/>
      <c r="D22" s="37"/>
      <c r="E22" s="37"/>
    </row>
    <row r="23" spans="1:6" x14ac:dyDescent="0.25">
      <c r="B23" s="63"/>
    </row>
    <row r="24" spans="1:6" ht="15.75" thickBot="1" x14ac:dyDescent="0.3"/>
    <row r="25" spans="1:6" ht="16.5" thickTop="1" thickBot="1" x14ac:dyDescent="0.3">
      <c r="C25" s="84" t="s">
        <v>37</v>
      </c>
      <c r="D25" s="85"/>
      <c r="E25" s="20" t="str">
        <f>IF(C11="","NA",IF(C11&gt;E21,"Yes","No"))</f>
        <v>NA</v>
      </c>
    </row>
    <row r="26" spans="1:6" ht="16.5" thickTop="1" thickBot="1" x14ac:dyDescent="0.3">
      <c r="C26" s="84" t="s">
        <v>38</v>
      </c>
      <c r="D26" s="85"/>
      <c r="E26" s="14" t="str">
        <f>IF(C13="","NA",IF(C13&gt;F21,"Yes","No"))</f>
        <v>NA</v>
      </c>
    </row>
    <row r="27" spans="1:6" ht="16.5" thickTop="1" thickBot="1" x14ac:dyDescent="0.3"/>
    <row r="28" spans="1:6" ht="15.75" thickBot="1" x14ac:dyDescent="0.3">
      <c r="C28" s="86"/>
      <c r="D28" s="87"/>
      <c r="E28" s="64" t="s">
        <v>42</v>
      </c>
      <c r="F28" s="65" t="s">
        <v>46</v>
      </c>
    </row>
    <row r="29" spans="1:6" x14ac:dyDescent="0.25">
      <c r="C29" s="88" t="s">
        <v>43</v>
      </c>
      <c r="D29" s="89"/>
      <c r="E29" s="66" t="e">
        <f>(C11/4)/($C$9/12)</f>
        <v>#DIV/0!</v>
      </c>
      <c r="F29" s="67" t="e">
        <f>E29*($C$9/12)</f>
        <v>#DIV/0!</v>
      </c>
    </row>
    <row r="30" spans="1:6" ht="15.75" thickBot="1" x14ac:dyDescent="0.3">
      <c r="C30" s="90" t="s">
        <v>44</v>
      </c>
      <c r="D30" s="91"/>
      <c r="E30" s="68" t="e">
        <f>($C$13)/($C$9/12)</f>
        <v>#DIV/0!</v>
      </c>
      <c r="F30" s="69" t="e">
        <f>E30*($C$9/12)</f>
        <v>#DIV/0!</v>
      </c>
    </row>
    <row r="31" spans="1:6" x14ac:dyDescent="0.25">
      <c r="B31" s="70"/>
    </row>
    <row r="32" spans="1:6" x14ac:dyDescent="0.25">
      <c r="B32" s="71"/>
    </row>
    <row r="33" spans="2:2" x14ac:dyDescent="0.25">
      <c r="B33" s="71"/>
    </row>
    <row r="34" spans="2:2" x14ac:dyDescent="0.25">
      <c r="B34" s="71"/>
    </row>
    <row r="35" spans="2:2" x14ac:dyDescent="0.25">
      <c r="B35" s="71"/>
    </row>
    <row r="36" spans="2:2" x14ac:dyDescent="0.25">
      <c r="B36" s="71"/>
    </row>
    <row r="37" spans="2:2" x14ac:dyDescent="0.25">
      <c r="B37" s="71"/>
    </row>
    <row r="39" spans="2:2" ht="23.25" x14ac:dyDescent="0.25">
      <c r="B39" s="45" t="s">
        <v>19</v>
      </c>
    </row>
    <row r="41" spans="2:2" ht="23.25" x14ac:dyDescent="0.25">
      <c r="B41" s="72" t="s">
        <v>20</v>
      </c>
    </row>
    <row r="42" spans="2:2" ht="15.75" thickBot="1" x14ac:dyDescent="0.3"/>
    <row r="43" spans="2:2" ht="24.75" thickTop="1" thickBot="1" x14ac:dyDescent="0.3">
      <c r="B43" s="73" t="s">
        <v>21</v>
      </c>
    </row>
    <row r="44" spans="2:2" ht="15.75" thickTop="1" x14ac:dyDescent="0.25"/>
  </sheetData>
  <mergeCells count="5">
    <mergeCell ref="C25:D25"/>
    <mergeCell ref="C26:D26"/>
    <mergeCell ref="C28:D28"/>
    <mergeCell ref="C29:D29"/>
    <mergeCell ref="C30:D30"/>
  </mergeCells>
  <conditionalFormatting sqref="E25:E26">
    <cfRule type="containsText" dxfId="63" priority="2" operator="containsText" text="NA">
      <formula>NOT(ISERROR(SEARCH("NA",E25)))</formula>
    </cfRule>
    <cfRule type="containsText" dxfId="62" priority="3" operator="containsText" text="Yes">
      <formula>NOT(ISERROR(SEARCH("Yes",E25)))</formula>
    </cfRule>
    <cfRule type="containsText" dxfId="61" priority="4" operator="containsText" text="No">
      <formula>NOT(ISERROR(SEARCH("No",E25)))</formula>
    </cfRule>
  </conditionalFormatting>
  <conditionalFormatting sqref="E29:F30">
    <cfRule type="cellIs" dxfId="60" priority="1" operator="greaterThan">
      <formula>0</formula>
    </cfRule>
  </conditionalFormatting>
  <pageMargins left="0.7" right="0.7" top="0.75" bottom="0.75" header="0.3" footer="0.3"/>
  <pageSetup scale="78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'BMP List'!#REF!</xm:f>
          </x14:formula1>
          <xm:sqref>B22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-0.249977111117893"/>
  </sheetPr>
  <dimension ref="A1:H46"/>
  <sheetViews>
    <sheetView tabSelected="1" zoomScale="80" zoomScaleNormal="80" workbookViewId="0">
      <selection activeCell="F30" sqref="F30"/>
    </sheetView>
  </sheetViews>
  <sheetFormatPr defaultColWidth="9.140625" defaultRowHeight="15" x14ac:dyDescent="0.25"/>
  <cols>
    <col min="1" max="1" width="11.7109375" style="47" customWidth="1"/>
    <col min="2" max="2" width="56.5703125" style="47" customWidth="1"/>
    <col min="3" max="3" width="32.85546875" style="47" bestFit="1" customWidth="1"/>
    <col min="4" max="4" width="39.5703125" style="47" customWidth="1"/>
    <col min="5" max="5" width="13.85546875" style="47" bestFit="1" customWidth="1"/>
    <col min="6" max="6" width="24.28515625" style="47" customWidth="1"/>
    <col min="7" max="7" width="15.140625" style="47" bestFit="1" customWidth="1"/>
    <col min="8" max="8" width="24.28515625" style="47" customWidth="1"/>
    <col min="9" max="16384" width="9.140625" style="47"/>
  </cols>
  <sheetData>
    <row r="1" spans="1:8" x14ac:dyDescent="0.25">
      <c r="B1" s="48" t="s">
        <v>30</v>
      </c>
      <c r="C1" s="24"/>
    </row>
    <row r="3" spans="1:8" x14ac:dyDescent="0.25">
      <c r="B3" s="48" t="s">
        <v>27</v>
      </c>
      <c r="C3" s="24">
        <v>0</v>
      </c>
    </row>
    <row r="4" spans="1:8" s="51" customFormat="1" ht="4.5" customHeight="1" x14ac:dyDescent="0.25">
      <c r="B4" s="49"/>
      <c r="C4" s="50"/>
    </row>
    <row r="5" spans="1:8" x14ac:dyDescent="0.25">
      <c r="B5" s="48" t="s">
        <v>11</v>
      </c>
      <c r="C5" s="25">
        <f>C3*43560</f>
        <v>0</v>
      </c>
      <c r="F5" s="75"/>
    </row>
    <row r="6" spans="1:8" ht="5.0999999999999996" customHeight="1" thickBot="1" x14ac:dyDescent="0.3">
      <c r="C6" s="52"/>
    </row>
    <row r="7" spans="1:8" ht="15.75" thickBot="1" x14ac:dyDescent="0.3">
      <c r="B7" s="53" t="s">
        <v>13</v>
      </c>
      <c r="C7" s="5">
        <f>C5/24</f>
        <v>0</v>
      </c>
    </row>
    <row r="9" spans="1:8" ht="15.75" thickBot="1" x14ac:dyDescent="0.3"/>
    <row r="10" spans="1:8" ht="30" x14ac:dyDescent="0.25">
      <c r="A10" s="32" t="s">
        <v>47</v>
      </c>
      <c r="B10" s="32" t="s">
        <v>14</v>
      </c>
      <c r="C10" s="18" t="s">
        <v>15</v>
      </c>
      <c r="D10" s="18" t="s">
        <v>16</v>
      </c>
      <c r="E10" s="18" t="s">
        <v>28</v>
      </c>
      <c r="F10" s="18" t="s">
        <v>25</v>
      </c>
      <c r="G10" s="19" t="s">
        <v>29</v>
      </c>
      <c r="H10" s="19" t="s">
        <v>26</v>
      </c>
    </row>
    <row r="11" spans="1:8" ht="15" customHeight="1" x14ac:dyDescent="0.25">
      <c r="A11" s="8"/>
      <c r="B11" s="8" t="s">
        <v>0</v>
      </c>
      <c r="C11" s="76" t="str">
        <f>IF(B11="Stormwater Reuse (Square Feet)",IF('Stormwater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Calculations'!$E$30))),VLOOKUP(B11,'BMP List'!$A:$F,6,FALSE))</f>
        <v>(Enter BMP Details Here)</v>
      </c>
      <c r="D11" s="29" t="str">
        <f>VLOOKUP(B11,'BMP List'!$A:$E,5,FALSE)</f>
        <v>Unit</v>
      </c>
      <c r="E11" s="28" t="str">
        <f>IF(ISERROR(VLOOKUP($B11,'BMP List'!A:C,3,FALSE)),"",VLOOKUP($B11,'BMP List'!A:C,3,FALSE))</f>
        <v>TP Credit</v>
      </c>
      <c r="F11" s="27" t="str">
        <f>IF(ISERROR(C11*E11),"",IF(B11="Disconnecting Impervious Surface (Square Feet)",IF((1/24*C11)&lt;($C$7),1/24*E11*C11,$C$7*E11),IF(B11="Underground Storage 1.5x (Cubic Feet)",IF(C11/1.5&gt;$C$7,$C$7*E11,C11/1.5*E11),IF(C11&gt;$C$7,$C$7*E11,C11*E11))))</f>
        <v/>
      </c>
      <c r="G11" s="30" t="str">
        <f>IF(ISERROR((VLOOKUP($B11,'BMP List'!$A:$D,4,FALSE))),"",VLOOKUP($B11,'BMP List'!$A:$D,4,FALSE))</f>
        <v>TSS Credit</v>
      </c>
      <c r="H11" s="33" t="str">
        <f>IF(ISERROR(C11*G11),"",IF(B11="Hydrodynamic Separator (Square Feet)",IF((1/24*G11*C11)&lt;($C$7*G11),1/24*G11*C11,$C$7*G11),IF(B11="Disconnecting Impervious Surface (Square Feet)",IF((1/24*G11*C11)&lt;($C$7*G11),1/24*G11*C11,$C$7*G11),IF(B11="Underground Storage 1.5x (Cubic Feet)",IF(C11/1.5&gt;$C$7,$C$7*E11,C11/1.5*E11),IF(C11&gt;$C$7,$C$7*G11,C11*G11)))))</f>
        <v/>
      </c>
    </row>
    <row r="12" spans="1:8" x14ac:dyDescent="0.25">
      <c r="A12" s="8"/>
      <c r="B12" s="8" t="s">
        <v>0</v>
      </c>
      <c r="C12" s="76" t="str">
        <f>IF(B12="Stormwater Reuse (Square Feet)",IF('Stormwater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Calculations'!$E$30))),VLOOKUP(B12,'BMP List'!$A:$F,6,FALSE))</f>
        <v>(Enter BMP Details Here)</v>
      </c>
      <c r="D12" s="29" t="str">
        <f>VLOOKUP(B12,'BMP List'!$A:$E,5,FALSE)</f>
        <v>Unit</v>
      </c>
      <c r="E12" s="28" t="str">
        <f>IF(ISERROR(VLOOKUP($B12,'BMP List'!A:C,3,FALSE)),"",VLOOKUP($B12,'BMP List'!A:C,3,FALSE))</f>
        <v>TP Credit</v>
      </c>
      <c r="F12" s="27" t="str">
        <f t="shared" ref="F12:F20" si="0">IF(ISERROR(C12*E12),"",IF(B12="Disconnecting Impervious Surface (Square Feet)",IF((1/24*C12)&lt;($C$7),1/24*E12*C12,$C$7*E12),IF(B12="Underground Storage 1.5x (Cubic Feet)",IF(C12/1.5&gt;$C$7,$C$7*E12,C12/1.5*E12),IF(C12&gt;$C$7,$C$7*E12,C12*E12))))</f>
        <v/>
      </c>
      <c r="G12" s="30" t="str">
        <f>IF(ISERROR((VLOOKUP($B12,'BMP List'!$A:$D,4,FALSE))),"",VLOOKUP($B12,'BMP List'!$A:$D,4,FALSE))</f>
        <v>TSS Credit</v>
      </c>
      <c r="H12" s="33" t="str">
        <f t="shared" ref="H12:H20" si="1">IF(ISERROR(C12*G12),"",IF(B12="Hydrodynamic Separator (Square Feet)",IF((1/24*G12*C12)&lt;($C$7*G12),1/24*G12*C12,$C$7*G12),IF(B12="Disconnecting Impervious Surface (Square Feet)",IF((1/24*G12*C12)&lt;($C$7*G12),1/24*G12*C12,$C$7*G12),IF(B12="Underground Storage 1.5x (Cubic Feet)",IF(C12/1.5&gt;$C$7,$C$7*E12,C12/1.5*E12),IF(C12&gt;$C$7,$C$7*G12,C12*G12)))))</f>
        <v/>
      </c>
    </row>
    <row r="13" spans="1:8" ht="15" customHeight="1" x14ac:dyDescent="0.25">
      <c r="A13" s="8"/>
      <c r="B13" s="8" t="s">
        <v>0</v>
      </c>
      <c r="C13" s="76" t="str">
        <f>IF(B13="Stormwater Reuse (Square Feet)",IF('Stormwater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Calculations'!$E$30))),VLOOKUP(B13,'BMP List'!$A:$F,6,FALSE))</f>
        <v>(Enter BMP Details Here)</v>
      </c>
      <c r="D13" s="29" t="str">
        <f>VLOOKUP(B13,'BMP List'!$A:$E,5,FALSE)</f>
        <v>Unit</v>
      </c>
      <c r="E13" s="28" t="str">
        <f>IF(ISERROR(VLOOKUP($B13,'BMP List'!A:C,3,FALSE)),"",VLOOKUP($B13,'BMP List'!A:C,3,FALSE))</f>
        <v>TP Credit</v>
      </c>
      <c r="F13" s="27" t="str">
        <f t="shared" si="0"/>
        <v/>
      </c>
      <c r="G13" s="30" t="str">
        <f>IF(ISERROR((VLOOKUP($B13,'BMP List'!$A:$D,4,FALSE))),"",VLOOKUP($B13,'BMP List'!$A:$D,4,FALSE))</f>
        <v>TSS Credit</v>
      </c>
      <c r="H13" s="33" t="str">
        <f t="shared" si="1"/>
        <v/>
      </c>
    </row>
    <row r="14" spans="1:8" x14ac:dyDescent="0.25">
      <c r="A14" s="8"/>
      <c r="B14" s="8" t="s">
        <v>0</v>
      </c>
      <c r="C14" s="76" t="str">
        <f>IF(B14="Stormwater Reuse (Square Feet)",IF('Stormwater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Calculations'!$E$30))),VLOOKUP(B14,'BMP List'!$A:$F,6,FALSE))</f>
        <v>(Enter BMP Details Here)</v>
      </c>
      <c r="D14" s="29" t="str">
        <f>VLOOKUP(B14,'BMP List'!$A:$E,5,FALSE)</f>
        <v>Unit</v>
      </c>
      <c r="E14" s="28" t="str">
        <f>IF(ISERROR(VLOOKUP($B14,'BMP List'!A:C,3,FALSE)),"",VLOOKUP($B14,'BMP List'!A:C,3,FALSE))</f>
        <v>TP Credit</v>
      </c>
      <c r="F14" s="27" t="str">
        <f t="shared" si="0"/>
        <v/>
      </c>
      <c r="G14" s="30" t="str">
        <f>IF(ISERROR((VLOOKUP($B14,'BMP List'!$A:$D,4,FALSE))),"",VLOOKUP($B14,'BMP List'!$A:$D,4,FALSE))</f>
        <v>TSS Credit</v>
      </c>
      <c r="H14" s="33" t="str">
        <f t="shared" si="1"/>
        <v/>
      </c>
    </row>
    <row r="15" spans="1:8" x14ac:dyDescent="0.25">
      <c r="A15" s="8"/>
      <c r="B15" s="8" t="s">
        <v>0</v>
      </c>
      <c r="C15" s="76" t="str">
        <f>IF(B15="Stormwater Reuse (Square Feet)",IF('Stormwater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Calculations'!$E$30))),VLOOKUP(B15,'BMP List'!$A:$F,6,FALSE))</f>
        <v>(Enter BMP Details Here)</v>
      </c>
      <c r="D15" s="29" t="str">
        <f>VLOOKUP(B15,'BMP List'!$A:$E,5,FALSE)</f>
        <v>Unit</v>
      </c>
      <c r="E15" s="28" t="str">
        <f>IF(ISERROR(VLOOKUP($B15,'BMP List'!A:C,3,FALSE)),"",VLOOKUP($B15,'BMP List'!A:C,3,FALSE))</f>
        <v>TP Credit</v>
      </c>
      <c r="F15" s="27" t="str">
        <f t="shared" si="0"/>
        <v/>
      </c>
      <c r="G15" s="30" t="str">
        <f>IF(ISERROR((VLOOKUP($B15,'BMP List'!$A:$D,4,FALSE))),"",VLOOKUP($B15,'BMP List'!$A:$D,4,FALSE))</f>
        <v>TSS Credit</v>
      </c>
      <c r="H15" s="33" t="str">
        <f t="shared" si="1"/>
        <v/>
      </c>
    </row>
    <row r="16" spans="1:8" x14ac:dyDescent="0.25">
      <c r="A16" s="8"/>
      <c r="B16" s="8" t="s">
        <v>0</v>
      </c>
      <c r="C16" s="76" t="str">
        <f>IF(B16="Stormwater Reuse (Square Feet)",IF('Stormwater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Calculations'!$E$30))),VLOOKUP(B16,'BMP List'!$A:$F,6,FALSE))</f>
        <v>(Enter BMP Details Here)</v>
      </c>
      <c r="D16" s="29" t="str">
        <f>VLOOKUP(B16,'BMP List'!$A:$E,5,FALSE)</f>
        <v>Unit</v>
      </c>
      <c r="E16" s="28" t="str">
        <f>IF(ISERROR(VLOOKUP($B16,'BMP List'!A:C,3,FALSE)),"",VLOOKUP($B16,'BMP List'!A:C,3,FALSE))</f>
        <v>TP Credit</v>
      </c>
      <c r="F16" s="27" t="str">
        <f t="shared" si="0"/>
        <v/>
      </c>
      <c r="G16" s="30" t="str">
        <f>IF(ISERROR((VLOOKUP($B16,'BMP List'!$A:$D,4,FALSE))),"",VLOOKUP($B16,'BMP List'!$A:$D,4,FALSE))</f>
        <v>TSS Credit</v>
      </c>
      <c r="H16" s="33" t="str">
        <f t="shared" si="1"/>
        <v/>
      </c>
    </row>
    <row r="17" spans="1:8" x14ac:dyDescent="0.25">
      <c r="A17" s="8"/>
      <c r="B17" s="8" t="s">
        <v>0</v>
      </c>
      <c r="C17" s="76" t="str">
        <f>IF(B17="Stormwater Reuse (Square Feet)",IF('Stormwater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Calculations'!$E$30))),VLOOKUP(B17,'BMP List'!$A:$F,6,FALSE))</f>
        <v>(Enter BMP Details Here)</v>
      </c>
      <c r="D17" s="29" t="str">
        <f>VLOOKUP(B17,'BMP List'!$A:$E,5,FALSE)</f>
        <v>Unit</v>
      </c>
      <c r="E17" s="28" t="str">
        <f>IF(ISERROR(VLOOKUP($B17,'BMP List'!A:C,3,FALSE)),"",VLOOKUP($B17,'BMP List'!A:C,3,FALSE))</f>
        <v>TP Credit</v>
      </c>
      <c r="F17" s="27" t="str">
        <f t="shared" si="0"/>
        <v/>
      </c>
      <c r="G17" s="30" t="str">
        <f>IF(ISERROR((VLOOKUP($B17,'BMP List'!$A:$D,4,FALSE))),"",VLOOKUP($B17,'BMP List'!$A:$D,4,FALSE))</f>
        <v>TSS Credit</v>
      </c>
      <c r="H17" s="33" t="str">
        <f t="shared" si="1"/>
        <v/>
      </c>
    </row>
    <row r="18" spans="1:8" x14ac:dyDescent="0.25">
      <c r="A18" s="8"/>
      <c r="B18" s="8" t="s">
        <v>0</v>
      </c>
      <c r="C18" s="76" t="str">
        <f>IF(B18="Stormwater Reuse (Square Feet)",IF('Stormwater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Calculations'!$E$30))),VLOOKUP(B18,'BMP List'!$A:$F,6,FALSE))</f>
        <v>(Enter BMP Details Here)</v>
      </c>
      <c r="D18" s="29" t="str">
        <f>VLOOKUP(B18,'BMP List'!$A:$E,5,FALSE)</f>
        <v>Unit</v>
      </c>
      <c r="E18" s="28" t="str">
        <f>IF(ISERROR(VLOOKUP($B18,'BMP List'!A:C,3,FALSE)),"",VLOOKUP($B18,'BMP List'!A:C,3,FALSE))</f>
        <v>TP Credit</v>
      </c>
      <c r="F18" s="27" t="str">
        <f t="shared" si="0"/>
        <v/>
      </c>
      <c r="G18" s="30" t="str">
        <f>IF(ISERROR((VLOOKUP($B18,'BMP List'!$A:$D,4,FALSE))),"",VLOOKUP($B18,'BMP List'!$A:$D,4,FALSE))</f>
        <v>TSS Credit</v>
      </c>
      <c r="H18" s="33" t="str">
        <f t="shared" si="1"/>
        <v/>
      </c>
    </row>
    <row r="19" spans="1:8" ht="15" customHeight="1" x14ac:dyDescent="0.25">
      <c r="A19" s="8"/>
      <c r="B19" s="8" t="s">
        <v>0</v>
      </c>
      <c r="C19" s="76" t="str">
        <f>IF(B19="Stormwater Reuse (Square Feet)",IF('Stormwater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Calculations'!$E$30))),VLOOKUP(B19,'BMP List'!$A:$F,6,FALSE))</f>
        <v>(Enter BMP Details Here)</v>
      </c>
      <c r="D19" s="29" t="str">
        <f>VLOOKUP(B19,'BMP List'!$A:$E,5,FALSE)</f>
        <v>Unit</v>
      </c>
      <c r="E19" s="28" t="str">
        <f>IF(ISERROR(VLOOKUP($B19,'BMP List'!A:C,3,FALSE)),"",VLOOKUP($B19,'BMP List'!A:C,3,FALSE))</f>
        <v>TP Credit</v>
      </c>
      <c r="F19" s="27" t="str">
        <f t="shared" si="0"/>
        <v/>
      </c>
      <c r="G19" s="30" t="str">
        <f>IF(ISERROR((VLOOKUP($B19,'BMP List'!$A:$D,4,FALSE))),"",VLOOKUP($B19,'BMP List'!$A:$D,4,FALSE))</f>
        <v>TSS Credit</v>
      </c>
      <c r="H19" s="33" t="str">
        <f t="shared" si="1"/>
        <v/>
      </c>
    </row>
    <row r="20" spans="1:8" ht="15.75" thickBot="1" x14ac:dyDescent="0.3">
      <c r="A20" s="10"/>
      <c r="B20" s="10" t="s">
        <v>0</v>
      </c>
      <c r="C20" s="77" t="str">
        <f>IF(B20="Stormwater Reuse (Square Feet)",IF('Stormwater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Calculations'!$E$30))),VLOOKUP(B20,'BMP List'!$A:$F,6,FALSE))</f>
        <v>(Enter BMP Details Here)</v>
      </c>
      <c r="D20" s="34" t="str">
        <f>VLOOKUP(B20,'BMP List'!$A:$E,5,FALSE)</f>
        <v>Unit</v>
      </c>
      <c r="E20" s="35" t="str">
        <f>IF(ISERROR(VLOOKUP($B20,'BMP List'!A:C,3,FALSE)),"",VLOOKUP($B20,'BMP List'!A:C,3,FALSE))</f>
        <v>TP Credit</v>
      </c>
      <c r="F20" s="83" t="str">
        <f t="shared" si="0"/>
        <v/>
      </c>
      <c r="G20" s="44" t="str">
        <f>IF(ISERROR((VLOOKUP($B20,'BMP List'!$A:$D,4,FALSE))),"",VLOOKUP($B20,'BMP List'!$A:$D,4,FALSE))</f>
        <v>TSS Credit</v>
      </c>
      <c r="H20" s="36" t="str">
        <f t="shared" si="1"/>
        <v/>
      </c>
    </row>
    <row r="21" spans="1:8" ht="15.75" thickBot="1" x14ac:dyDescent="0.3">
      <c r="B21" s="63"/>
      <c r="C21" s="63"/>
      <c r="D21" s="31" t="s">
        <v>17</v>
      </c>
      <c r="F21" s="26">
        <f>SUM(F11:F20)</f>
        <v>0</v>
      </c>
      <c r="H21" s="26">
        <f>SUM(H11:H20)</f>
        <v>0</v>
      </c>
    </row>
    <row r="22" spans="1:8" ht="16.5" customHeight="1" thickTop="1" thickBot="1" x14ac:dyDescent="0.3">
      <c r="D22" s="12" t="s">
        <v>18</v>
      </c>
      <c r="F22" s="20" t="e">
        <f>IF((F21/($C$7*0.9))&gt;1,"&gt;100%",F21/($C$7*0.9))</f>
        <v>#DIV/0!</v>
      </c>
      <c r="H22" s="20" t="e">
        <f>IF((H21/($C$7*0.9))&gt;1,"&gt;100%",H21/($C$7*0.9))</f>
        <v>#DIV/0!</v>
      </c>
    </row>
    <row r="23" spans="1:8" ht="16.5" thickTop="1" thickBot="1" x14ac:dyDescent="0.3">
      <c r="D23" s="12" t="s">
        <v>24</v>
      </c>
      <c r="F23" s="12" t="e">
        <f>IF(F22&gt;=100%,"YES","NO")</f>
        <v>#DIV/0!</v>
      </c>
      <c r="H23" s="12" t="e">
        <f>IF(H22&gt;=100%,"YES","NO")</f>
        <v>#DIV/0!</v>
      </c>
    </row>
    <row r="24" spans="1:8" ht="15.75" thickTop="1" x14ac:dyDescent="0.25">
      <c r="D24" s="79"/>
      <c r="E24" s="70"/>
      <c r="F24" s="80"/>
      <c r="G24" s="70"/>
      <c r="H24" s="80"/>
    </row>
    <row r="25" spans="1:8" x14ac:dyDescent="0.25">
      <c r="F25" s="56"/>
    </row>
    <row r="32" spans="1:8" ht="23.25" x14ac:dyDescent="0.25">
      <c r="B32" s="45" t="s">
        <v>19</v>
      </c>
    </row>
    <row r="34" spans="2:8" ht="23.25" x14ac:dyDescent="0.25">
      <c r="B34" s="72" t="s">
        <v>20</v>
      </c>
    </row>
    <row r="35" spans="2:8" ht="15.75" thickBot="1" x14ac:dyDescent="0.3"/>
    <row r="36" spans="2:8" ht="24.75" thickTop="1" thickBot="1" x14ac:dyDescent="0.3">
      <c r="B36" s="73" t="s">
        <v>21</v>
      </c>
    </row>
    <row r="37" spans="2:8" ht="15.75" thickTop="1" x14ac:dyDescent="0.25"/>
    <row r="46" spans="2:8" ht="16.5" hidden="1" thickTop="1" thickBot="1" x14ac:dyDescent="0.3">
      <c r="D46" s="13" t="s">
        <v>51</v>
      </c>
      <c r="F46" s="78">
        <f>(IF(F11="",0,E11*$C$11)+IF(F12="",0,E12*$C$12)+IF(F13="",0,E13*$C$13)+IF(F14="",0,E14*$C$14)+IF(F15="",0,E15*$C$15)+IF(F16="",0,E16*$C$16)+IF(F17="",0,E17*$C$17)+IF(F18="",0,E18*$C$18)+IF(F19="",0,E19*$C$19)+IF(F20="",0,E20*$C$20))-($C$7*0.9)</f>
        <v>0</v>
      </c>
      <c r="H46" s="78">
        <f>(IF(H11="",0,G11*$C$11)+IF(H12="",0,G12*$C$12)+IF(H13="",0,G13*$C$13)+IF(H14="",0,G14*$C$14)+IF(H15="",0,G15*$C$15)+IF(H16="",0,G16*$C$16)+IF(H17="",0,G17*$C$17)+IF(H18="",0,G18*$C$18)+IF(H19="",0,G19*$C$19)+IF(H20="",0,G20*$C$20))-($C$7*0.9)</f>
        <v>0</v>
      </c>
    </row>
  </sheetData>
  <conditionalFormatting sqref="F46 H46">
    <cfRule type="cellIs" dxfId="59" priority="3" operator="lessThan">
      <formula>0</formula>
    </cfRule>
    <cfRule type="cellIs" dxfId="58" priority="4" operator="greaterThan">
      <formula>0</formula>
    </cfRule>
  </conditionalFormatting>
  <conditionalFormatting sqref="F24 H24">
    <cfRule type="cellIs" dxfId="57" priority="5" operator="lessThan">
      <formula>0</formula>
    </cfRule>
    <cfRule type="cellIs" dxfId="56" priority="6" operator="greaterThan">
      <formula>0</formula>
    </cfRule>
  </conditionalFormatting>
  <conditionalFormatting sqref="F23 H23">
    <cfRule type="containsText" dxfId="55" priority="1" operator="containsText" text="yes">
      <formula>NOT(ISERROR(SEARCH("yes",F23)))</formula>
    </cfRule>
    <cfRule type="containsText" dxfId="54" priority="2" operator="containsText" text="No">
      <formula>NOT(ISERROR(SEARCH("No",F23)))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'BMP List'!$A$1:$A$22</xm:f>
          </x14:formula1>
          <xm:sqref>B11:B20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E1B4D-D11C-4F92-8E22-AC3594C18F90}">
  <sheetPr>
    <tabColor theme="8" tint="-0.249977111117893"/>
  </sheetPr>
  <dimension ref="A1:H46"/>
  <sheetViews>
    <sheetView zoomScale="80" zoomScaleNormal="80" workbookViewId="0">
      <selection activeCell="B43" sqref="B43"/>
    </sheetView>
  </sheetViews>
  <sheetFormatPr defaultColWidth="9.140625" defaultRowHeight="15" x14ac:dyDescent="0.25"/>
  <cols>
    <col min="1" max="1" width="11.7109375" style="47" customWidth="1"/>
    <col min="2" max="2" width="50.85546875" style="47" bestFit="1" customWidth="1"/>
    <col min="3" max="3" width="32.85546875" style="47" bestFit="1" customWidth="1"/>
    <col min="4" max="4" width="39.5703125" style="47" customWidth="1"/>
    <col min="5" max="5" width="13.85546875" style="47" bestFit="1" customWidth="1"/>
    <col min="6" max="6" width="24.28515625" style="47" customWidth="1"/>
    <col min="7" max="7" width="15.140625" style="47" bestFit="1" customWidth="1"/>
    <col min="8" max="8" width="24.28515625" style="47" customWidth="1"/>
    <col min="9" max="16384" width="9.140625" style="47"/>
  </cols>
  <sheetData>
    <row r="1" spans="1:8" x14ac:dyDescent="0.25">
      <c r="B1" s="48" t="s">
        <v>30</v>
      </c>
      <c r="C1" s="24"/>
    </row>
    <row r="3" spans="1:8" x14ac:dyDescent="0.25">
      <c r="B3" s="48" t="s">
        <v>27</v>
      </c>
      <c r="C3" s="24">
        <v>0</v>
      </c>
    </row>
    <row r="4" spans="1:8" s="51" customFormat="1" ht="4.5" customHeight="1" x14ac:dyDescent="0.25">
      <c r="B4" s="49"/>
      <c r="C4" s="50"/>
    </row>
    <row r="5" spans="1:8" x14ac:dyDescent="0.25">
      <c r="B5" s="48" t="s">
        <v>11</v>
      </c>
      <c r="C5" s="25">
        <f>C3*43560</f>
        <v>0</v>
      </c>
      <c r="F5" s="75"/>
    </row>
    <row r="6" spans="1:8" ht="5.0999999999999996" customHeight="1" thickBot="1" x14ac:dyDescent="0.3">
      <c r="C6" s="52"/>
    </row>
    <row r="7" spans="1:8" ht="15.75" thickBot="1" x14ac:dyDescent="0.3">
      <c r="B7" s="53" t="s">
        <v>13</v>
      </c>
      <c r="C7" s="5">
        <f>C5/24</f>
        <v>0</v>
      </c>
    </row>
    <row r="9" spans="1:8" ht="15.75" thickBot="1" x14ac:dyDescent="0.3"/>
    <row r="10" spans="1:8" ht="30" x14ac:dyDescent="0.25">
      <c r="A10" s="32" t="s">
        <v>47</v>
      </c>
      <c r="B10" s="32" t="s">
        <v>14</v>
      </c>
      <c r="C10" s="18" t="s">
        <v>15</v>
      </c>
      <c r="D10" s="18" t="s">
        <v>16</v>
      </c>
      <c r="E10" s="18" t="s">
        <v>28</v>
      </c>
      <c r="F10" s="18" t="s">
        <v>25</v>
      </c>
      <c r="G10" s="19" t="s">
        <v>29</v>
      </c>
      <c r="H10" s="19" t="s">
        <v>26</v>
      </c>
    </row>
    <row r="11" spans="1:8" ht="15" customHeight="1" x14ac:dyDescent="0.25">
      <c r="A11" s="8"/>
      <c r="B11" s="8" t="s">
        <v>0</v>
      </c>
      <c r="C11" s="76" t="str">
        <f>IF(B11="Stormwater Reuse (Square Feet)",IF('Stormwater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Calculations'!$E$30))),VLOOKUP(B11,'BMP List'!$A:$F,6,FALSE))</f>
        <v>(Enter BMP Details Here)</v>
      </c>
      <c r="D11" s="29" t="str">
        <f>VLOOKUP(B11,'BMP List'!$A:$E,5,FALSE)</f>
        <v>Unit</v>
      </c>
      <c r="E11" s="28" t="str">
        <f>IF(ISERROR(VLOOKUP($B11,'BMP List'!A:C,3,FALSE)),"",VLOOKUP($B11,'BMP List'!A:C,3,FALSE))</f>
        <v>TP Credit</v>
      </c>
      <c r="F11" s="27" t="str">
        <f>IF(ISERROR(C11*E11),"",IF(B11="Disconnecting Impervious Surface (Square Feet)",IF((1/24*C11)&lt;($C$7),1/24*E11*C11,$C$7*E11),IF(B11="Underground Storage 1.5x (Cubic Feet)",IF(C11/1.5&gt;$C$7,$C$7*E11,C11/1.5*E11),IF(C11&gt;$C$7,$C$7*E11,C11*E11))))</f>
        <v/>
      </c>
      <c r="G11" s="30" t="str">
        <f>IF(ISERROR((VLOOKUP($B11,'BMP List'!$A:$D,4,FALSE))),"",VLOOKUP($B11,'BMP List'!$A:$D,4,FALSE))</f>
        <v>TSS Credit</v>
      </c>
      <c r="H11" s="33" t="str">
        <f>IF(ISERROR(C11*G11),"",IF(B11="Hydrodynamic Separator (Square Feet)",IF((1/24*G11*C11)&lt;($C$7*G11),1/24*G11*C11,$C$7*G11),IF(B11="Disconnecting Impervious Surface (Square Feet)",IF((1/24*G11*C11)&lt;($C$7*G11),1/24*G11*C11,$C$7*G11),IF(B11="Underground Storage 1.5x (Cubic Feet)",IF(C11/1.5&gt;$C$7,$C$7*E11,C11/1.5*E11),IF(C11&gt;$C$7,$C$7*G11,C11*G11)))))</f>
        <v/>
      </c>
    </row>
    <row r="12" spans="1:8" x14ac:dyDescent="0.25">
      <c r="A12" s="8"/>
      <c r="B12" s="8" t="s">
        <v>0</v>
      </c>
      <c r="C12" s="76" t="str">
        <f>IF(B12="Stormwater Reuse (Square Feet)",IF('Stormwater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Calculations'!$E$30))),VLOOKUP(B12,'BMP List'!$A:$F,6,FALSE))</f>
        <v>(Enter BMP Details Here)</v>
      </c>
      <c r="D12" s="29" t="str">
        <f>VLOOKUP(B12,'BMP List'!$A:$E,5,FALSE)</f>
        <v>Unit</v>
      </c>
      <c r="E12" s="28" t="str">
        <f>IF(ISERROR(VLOOKUP($B12,'BMP List'!A:C,3,FALSE)),"",VLOOKUP($B12,'BMP List'!A:C,3,FALSE))</f>
        <v>TP Credit</v>
      </c>
      <c r="F12" s="27" t="str">
        <f t="shared" ref="F12:F20" si="0">IF(ISERROR(C12*E12),"",IF(B12="Disconnecting Impervious Surface (Square Feet)",IF((1/24*C12)&lt;($C$7),1/24*E12*C12,$C$7*E12),IF(B12="Underground Storage 1.5x (Cubic Feet)",IF(C12/1.5&gt;$C$7,$C$7*E12,C12/1.5*E12),IF(C12&gt;$C$7,$C$7*E12,C12*E12))))</f>
        <v/>
      </c>
      <c r="G12" s="30" t="str">
        <f>IF(ISERROR((VLOOKUP($B12,'BMP List'!$A:$D,4,FALSE))),"",VLOOKUP($B12,'BMP List'!$A:$D,4,FALSE))</f>
        <v>TSS Credit</v>
      </c>
      <c r="H12" s="33" t="str">
        <f t="shared" ref="H12:H20" si="1">IF(ISERROR(C12*G12),"",IF(B12="Hydrodynamic Separator (Square Feet)",IF((1/24*G12*C12)&lt;($C$7*G12),1/24*G12*C12,$C$7*G12),IF(B12="Disconnecting Impervious Surface (Square Feet)",IF((1/24*G12*C12)&lt;($C$7*G12),1/24*G12*C12,$C$7*G12),IF(B12="Underground Storage 1.5x (Cubic Feet)",IF(C12/1.5&gt;$C$7,$C$7*E12,C12/1.5*E12),IF(C12&gt;$C$7,$C$7*G12,C12*G12)))))</f>
        <v/>
      </c>
    </row>
    <row r="13" spans="1:8" ht="15" customHeight="1" x14ac:dyDescent="0.25">
      <c r="A13" s="8"/>
      <c r="B13" s="8" t="s">
        <v>0</v>
      </c>
      <c r="C13" s="76" t="str">
        <f>IF(B13="Stormwater Reuse (Square Feet)",IF('Stormwater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Calculations'!$E$30))),VLOOKUP(B13,'BMP List'!$A:$F,6,FALSE))</f>
        <v>(Enter BMP Details Here)</v>
      </c>
      <c r="D13" s="29" t="str">
        <f>VLOOKUP(B13,'BMP List'!$A:$E,5,FALSE)</f>
        <v>Unit</v>
      </c>
      <c r="E13" s="28" t="str">
        <f>IF(ISERROR(VLOOKUP($B13,'BMP List'!A:C,3,FALSE)),"",VLOOKUP($B13,'BMP List'!A:C,3,FALSE))</f>
        <v>TP Credit</v>
      </c>
      <c r="F13" s="27" t="str">
        <f t="shared" si="0"/>
        <v/>
      </c>
      <c r="G13" s="30" t="str">
        <f>IF(ISERROR((VLOOKUP($B13,'BMP List'!$A:$D,4,FALSE))),"",VLOOKUP($B13,'BMP List'!$A:$D,4,FALSE))</f>
        <v>TSS Credit</v>
      </c>
      <c r="H13" s="33" t="str">
        <f t="shared" si="1"/>
        <v/>
      </c>
    </row>
    <row r="14" spans="1:8" x14ac:dyDescent="0.25">
      <c r="A14" s="8"/>
      <c r="B14" s="8" t="s">
        <v>0</v>
      </c>
      <c r="C14" s="76" t="str">
        <f>IF(B14="Stormwater Reuse (Square Feet)",IF('Stormwater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Calculations'!$E$30))),VLOOKUP(B14,'BMP List'!$A:$F,6,FALSE))</f>
        <v>(Enter BMP Details Here)</v>
      </c>
      <c r="D14" s="29" t="str">
        <f>VLOOKUP(B14,'BMP List'!$A:$E,5,FALSE)</f>
        <v>Unit</v>
      </c>
      <c r="E14" s="28" t="str">
        <f>IF(ISERROR(VLOOKUP($B14,'BMP List'!A:C,3,FALSE)),"",VLOOKUP($B14,'BMP List'!A:C,3,FALSE))</f>
        <v>TP Credit</v>
      </c>
      <c r="F14" s="27" t="str">
        <f t="shared" si="0"/>
        <v/>
      </c>
      <c r="G14" s="30" t="str">
        <f>IF(ISERROR((VLOOKUP($B14,'BMP List'!$A:$D,4,FALSE))),"",VLOOKUP($B14,'BMP List'!$A:$D,4,FALSE))</f>
        <v>TSS Credit</v>
      </c>
      <c r="H14" s="33" t="str">
        <f t="shared" si="1"/>
        <v/>
      </c>
    </row>
    <row r="15" spans="1:8" x14ac:dyDescent="0.25">
      <c r="A15" s="8"/>
      <c r="B15" s="8" t="s">
        <v>0</v>
      </c>
      <c r="C15" s="76" t="str">
        <f>IF(B15="Stormwater Reuse (Square Feet)",IF('Stormwater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Calculations'!$E$30))),VLOOKUP(B15,'BMP List'!$A:$F,6,FALSE))</f>
        <v>(Enter BMP Details Here)</v>
      </c>
      <c r="D15" s="29" t="str">
        <f>VLOOKUP(B15,'BMP List'!$A:$E,5,FALSE)</f>
        <v>Unit</v>
      </c>
      <c r="E15" s="28" t="str">
        <f>IF(ISERROR(VLOOKUP($B15,'BMP List'!A:C,3,FALSE)),"",VLOOKUP($B15,'BMP List'!A:C,3,FALSE))</f>
        <v>TP Credit</v>
      </c>
      <c r="F15" s="27" t="str">
        <f t="shared" si="0"/>
        <v/>
      </c>
      <c r="G15" s="30" t="str">
        <f>IF(ISERROR((VLOOKUP($B15,'BMP List'!$A:$D,4,FALSE))),"",VLOOKUP($B15,'BMP List'!$A:$D,4,FALSE))</f>
        <v>TSS Credit</v>
      </c>
      <c r="H15" s="33" t="str">
        <f t="shared" si="1"/>
        <v/>
      </c>
    </row>
    <row r="16" spans="1:8" x14ac:dyDescent="0.25">
      <c r="A16" s="8"/>
      <c r="B16" s="8" t="s">
        <v>0</v>
      </c>
      <c r="C16" s="76" t="str">
        <f>IF(B16="Stormwater Reuse (Square Feet)",IF('Stormwater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Calculations'!$E$30))),VLOOKUP(B16,'BMP List'!$A:$F,6,FALSE))</f>
        <v>(Enter BMP Details Here)</v>
      </c>
      <c r="D16" s="29" t="str">
        <f>VLOOKUP(B16,'BMP List'!$A:$E,5,FALSE)</f>
        <v>Unit</v>
      </c>
      <c r="E16" s="28" t="str">
        <f>IF(ISERROR(VLOOKUP($B16,'BMP List'!A:C,3,FALSE)),"",VLOOKUP($B16,'BMP List'!A:C,3,FALSE))</f>
        <v>TP Credit</v>
      </c>
      <c r="F16" s="27" t="str">
        <f t="shared" si="0"/>
        <v/>
      </c>
      <c r="G16" s="30" t="str">
        <f>IF(ISERROR((VLOOKUP($B16,'BMP List'!$A:$D,4,FALSE))),"",VLOOKUP($B16,'BMP List'!$A:$D,4,FALSE))</f>
        <v>TSS Credit</v>
      </c>
      <c r="H16" s="33" t="str">
        <f t="shared" si="1"/>
        <v/>
      </c>
    </row>
    <row r="17" spans="1:8" x14ac:dyDescent="0.25">
      <c r="A17" s="8"/>
      <c r="B17" s="8" t="s">
        <v>0</v>
      </c>
      <c r="C17" s="76" t="str">
        <f>IF(B17="Stormwater Reuse (Square Feet)",IF('Stormwater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Calculations'!$E$30))),VLOOKUP(B17,'BMP List'!$A:$F,6,FALSE))</f>
        <v>(Enter BMP Details Here)</v>
      </c>
      <c r="D17" s="29" t="str">
        <f>VLOOKUP(B17,'BMP List'!$A:$E,5,FALSE)</f>
        <v>Unit</v>
      </c>
      <c r="E17" s="28" t="str">
        <f>IF(ISERROR(VLOOKUP($B17,'BMP List'!A:C,3,FALSE)),"",VLOOKUP($B17,'BMP List'!A:C,3,FALSE))</f>
        <v>TP Credit</v>
      </c>
      <c r="F17" s="27" t="str">
        <f t="shared" si="0"/>
        <v/>
      </c>
      <c r="G17" s="30" t="str">
        <f>IF(ISERROR((VLOOKUP($B17,'BMP List'!$A:$D,4,FALSE))),"",VLOOKUP($B17,'BMP List'!$A:$D,4,FALSE))</f>
        <v>TSS Credit</v>
      </c>
      <c r="H17" s="33" t="str">
        <f t="shared" si="1"/>
        <v/>
      </c>
    </row>
    <row r="18" spans="1:8" x14ac:dyDescent="0.25">
      <c r="A18" s="8"/>
      <c r="B18" s="8" t="s">
        <v>0</v>
      </c>
      <c r="C18" s="76" t="str">
        <f>IF(B18="Stormwater Reuse (Square Feet)",IF('Stormwater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Calculations'!$E$30))),VLOOKUP(B18,'BMP List'!$A:$F,6,FALSE))</f>
        <v>(Enter BMP Details Here)</v>
      </c>
      <c r="D18" s="29" t="str">
        <f>VLOOKUP(B18,'BMP List'!$A:$E,5,FALSE)</f>
        <v>Unit</v>
      </c>
      <c r="E18" s="28" t="str">
        <f>IF(ISERROR(VLOOKUP($B18,'BMP List'!A:C,3,FALSE)),"",VLOOKUP($B18,'BMP List'!A:C,3,FALSE))</f>
        <v>TP Credit</v>
      </c>
      <c r="F18" s="27" t="str">
        <f t="shared" si="0"/>
        <v/>
      </c>
      <c r="G18" s="30" t="str">
        <f>IF(ISERROR((VLOOKUP($B18,'BMP List'!$A:$D,4,FALSE))),"",VLOOKUP($B18,'BMP List'!$A:$D,4,FALSE))</f>
        <v>TSS Credit</v>
      </c>
      <c r="H18" s="33" t="str">
        <f t="shared" si="1"/>
        <v/>
      </c>
    </row>
    <row r="19" spans="1:8" ht="15" customHeight="1" x14ac:dyDescent="0.25">
      <c r="A19" s="8"/>
      <c r="B19" s="8" t="s">
        <v>0</v>
      </c>
      <c r="C19" s="76" t="str">
        <f>IF(B19="Stormwater Reuse (Square Feet)",IF('Stormwater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Calculations'!$E$30))),VLOOKUP(B19,'BMP List'!$A:$F,6,FALSE))</f>
        <v>(Enter BMP Details Here)</v>
      </c>
      <c r="D19" s="29" t="str">
        <f>VLOOKUP(B19,'BMP List'!$A:$E,5,FALSE)</f>
        <v>Unit</v>
      </c>
      <c r="E19" s="28" t="str">
        <f>IF(ISERROR(VLOOKUP($B19,'BMP List'!A:C,3,FALSE)),"",VLOOKUP($B19,'BMP List'!A:C,3,FALSE))</f>
        <v>TP Credit</v>
      </c>
      <c r="F19" s="27" t="str">
        <f t="shared" si="0"/>
        <v/>
      </c>
      <c r="G19" s="30" t="str">
        <f>IF(ISERROR((VLOOKUP($B19,'BMP List'!$A:$D,4,FALSE))),"",VLOOKUP($B19,'BMP List'!$A:$D,4,FALSE))</f>
        <v>TSS Credit</v>
      </c>
      <c r="H19" s="33" t="str">
        <f t="shared" si="1"/>
        <v/>
      </c>
    </row>
    <row r="20" spans="1:8" ht="15.75" thickBot="1" x14ac:dyDescent="0.3">
      <c r="A20" s="10"/>
      <c r="B20" s="10" t="s">
        <v>0</v>
      </c>
      <c r="C20" s="77" t="str">
        <f>IF(B20="Stormwater Reuse (Square Feet)",IF('Stormwater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Calculations'!$E$30))),VLOOKUP(B20,'BMP List'!$A:$F,6,FALSE))</f>
        <v>(Enter BMP Details Here)</v>
      </c>
      <c r="D20" s="34" t="str">
        <f>VLOOKUP(B20,'BMP List'!$A:$E,5,FALSE)</f>
        <v>Unit</v>
      </c>
      <c r="E20" s="35" t="str">
        <f>IF(ISERROR(VLOOKUP($B20,'BMP List'!A:C,3,FALSE)),"",VLOOKUP($B20,'BMP List'!A:C,3,FALSE))</f>
        <v>TP Credit</v>
      </c>
      <c r="F20" s="83" t="str">
        <f t="shared" si="0"/>
        <v/>
      </c>
      <c r="G20" s="44" t="str">
        <f>IF(ISERROR((VLOOKUP($B20,'BMP List'!$A:$D,4,FALSE))),"",VLOOKUP($B20,'BMP List'!$A:$D,4,FALSE))</f>
        <v>TSS Credit</v>
      </c>
      <c r="H20" s="36" t="str">
        <f t="shared" si="1"/>
        <v/>
      </c>
    </row>
    <row r="21" spans="1:8" ht="15.75" thickBot="1" x14ac:dyDescent="0.3">
      <c r="B21" s="63"/>
      <c r="C21" s="63"/>
      <c r="D21" s="31" t="s">
        <v>17</v>
      </c>
      <c r="F21" s="26">
        <f>SUM(F11:F20)</f>
        <v>0</v>
      </c>
      <c r="H21" s="26">
        <f>SUM(H11:H20)</f>
        <v>0</v>
      </c>
    </row>
    <row r="22" spans="1:8" ht="16.5" customHeight="1" thickTop="1" thickBot="1" x14ac:dyDescent="0.3">
      <c r="D22" s="12" t="s">
        <v>18</v>
      </c>
      <c r="F22" s="20" t="e">
        <f>IF((F21/($C$7*0.9))&gt;1,"&gt;100%",F21/($C$7*0.9))</f>
        <v>#DIV/0!</v>
      </c>
      <c r="H22" s="20" t="e">
        <f>IF((H21/($C$7*0.9))&gt;1,"&gt;100%",H21/($C$7*0.9))</f>
        <v>#DIV/0!</v>
      </c>
    </row>
    <row r="23" spans="1:8" ht="16.5" thickTop="1" thickBot="1" x14ac:dyDescent="0.3">
      <c r="D23" s="12" t="s">
        <v>24</v>
      </c>
      <c r="F23" s="12" t="e">
        <f>IF(F22&gt;=100%,"YES","NO")</f>
        <v>#DIV/0!</v>
      </c>
      <c r="H23" s="12" t="e">
        <f>IF(H22&gt;=100%,"YES","NO")</f>
        <v>#DIV/0!</v>
      </c>
    </row>
    <row r="24" spans="1:8" ht="15.75" thickTop="1" x14ac:dyDescent="0.25">
      <c r="D24" s="79"/>
      <c r="E24" s="70"/>
      <c r="F24" s="80"/>
      <c r="G24" s="70"/>
      <c r="H24" s="80"/>
    </row>
    <row r="25" spans="1:8" x14ac:dyDescent="0.25">
      <c r="F25" s="56"/>
    </row>
    <row r="32" spans="1:8" ht="23.25" x14ac:dyDescent="0.25">
      <c r="B32" s="45" t="s">
        <v>19</v>
      </c>
    </row>
    <row r="34" spans="2:8" ht="23.25" x14ac:dyDescent="0.25">
      <c r="B34" s="72" t="s">
        <v>20</v>
      </c>
    </row>
    <row r="35" spans="2:8" ht="15.75" thickBot="1" x14ac:dyDescent="0.3"/>
    <row r="36" spans="2:8" ht="24.75" thickTop="1" thickBot="1" x14ac:dyDescent="0.3">
      <c r="B36" s="73" t="s">
        <v>21</v>
      </c>
    </row>
    <row r="37" spans="2:8" ht="15.75" thickTop="1" x14ac:dyDescent="0.25"/>
    <row r="46" spans="2:8" ht="16.5" hidden="1" thickTop="1" thickBot="1" x14ac:dyDescent="0.3">
      <c r="D46" s="13" t="s">
        <v>51</v>
      </c>
      <c r="F46" s="78">
        <f>(IF(F11="",0,E11*$C$11)+IF(F12="",0,E12*$C$12)+IF(F13="",0,E13*$C$13)+IF(F14="",0,E14*$C$14)+IF(F15="",0,E15*$C$15)+IF(F16="",0,E16*$C$16)+IF(F17="",0,E17*$C$17)+IF(F18="",0,E18*$C$18)+IF(F19="",0,E19*$C$19)+IF(F20="",0,E20*$C$20))-($C$7*0.9)</f>
        <v>0</v>
      </c>
      <c r="H46" s="78">
        <f>(IF(H11="",0,G11*$C$11)+IF(H12="",0,G12*$C$12)+IF(H13="",0,G13*$C$13)+IF(H14="",0,G14*$C$14)+IF(H15="",0,G15*$C$15)+IF(H16="",0,G16*$C$16)+IF(H17="",0,G17*$C$17)+IF(H18="",0,G18*$C$18)+IF(H19="",0,G19*$C$19)+IF(H20="",0,G20*$C$20))-($C$7*0.9)</f>
        <v>0</v>
      </c>
    </row>
  </sheetData>
  <conditionalFormatting sqref="F46 H46">
    <cfRule type="cellIs" dxfId="53" priority="3" operator="lessThan">
      <formula>0</formula>
    </cfRule>
    <cfRule type="cellIs" dxfId="52" priority="4" operator="greaterThan">
      <formula>0</formula>
    </cfRule>
  </conditionalFormatting>
  <conditionalFormatting sqref="F24 H24">
    <cfRule type="cellIs" dxfId="51" priority="5" operator="lessThan">
      <formula>0</formula>
    </cfRule>
    <cfRule type="cellIs" dxfId="50" priority="6" operator="greaterThan">
      <formula>0</formula>
    </cfRule>
  </conditionalFormatting>
  <conditionalFormatting sqref="F23 H23">
    <cfRule type="containsText" dxfId="49" priority="1" operator="containsText" text="yes">
      <formula>NOT(ISERROR(SEARCH("yes",F23)))</formula>
    </cfRule>
    <cfRule type="containsText" dxfId="48" priority="2" operator="containsText" text="No">
      <formula>NOT(ISERROR(SEARCH("No",F23)))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831305F-72AD-47DE-9288-5DDE70216159}">
          <x14:formula1>
            <xm:f>'BMP List'!$A$1:$A$22</xm:f>
          </x14:formula1>
          <xm:sqref>B11:B20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B3F34-C96B-4F6F-B2C9-2C47F9DAC5A2}">
  <sheetPr>
    <tabColor theme="8" tint="-0.249977111117893"/>
  </sheetPr>
  <dimension ref="A1:H46"/>
  <sheetViews>
    <sheetView zoomScale="80" zoomScaleNormal="80" workbookViewId="0">
      <selection activeCell="B43" sqref="B43"/>
    </sheetView>
  </sheetViews>
  <sheetFormatPr defaultColWidth="9.140625" defaultRowHeight="15" x14ac:dyDescent="0.25"/>
  <cols>
    <col min="1" max="1" width="11.7109375" style="47" customWidth="1"/>
    <col min="2" max="2" width="50.85546875" style="47" bestFit="1" customWidth="1"/>
    <col min="3" max="3" width="32.85546875" style="47" bestFit="1" customWidth="1"/>
    <col min="4" max="4" width="39.5703125" style="47" customWidth="1"/>
    <col min="5" max="5" width="13.85546875" style="47" bestFit="1" customWidth="1"/>
    <col min="6" max="6" width="24.28515625" style="47" customWidth="1"/>
    <col min="7" max="7" width="15.140625" style="47" bestFit="1" customWidth="1"/>
    <col min="8" max="8" width="24.28515625" style="47" customWidth="1"/>
    <col min="9" max="16384" width="9.140625" style="47"/>
  </cols>
  <sheetData>
    <row r="1" spans="1:8" x14ac:dyDescent="0.25">
      <c r="B1" s="48" t="s">
        <v>30</v>
      </c>
      <c r="C1" s="24"/>
    </row>
    <row r="3" spans="1:8" x14ac:dyDescent="0.25">
      <c r="B3" s="48" t="s">
        <v>27</v>
      </c>
      <c r="C3" s="24">
        <v>0</v>
      </c>
    </row>
    <row r="4" spans="1:8" s="51" customFormat="1" ht="4.5" customHeight="1" x14ac:dyDescent="0.25">
      <c r="B4" s="49"/>
      <c r="C4" s="50"/>
    </row>
    <row r="5" spans="1:8" x14ac:dyDescent="0.25">
      <c r="B5" s="48" t="s">
        <v>11</v>
      </c>
      <c r="C5" s="25">
        <f>C3*43560</f>
        <v>0</v>
      </c>
      <c r="F5" s="75"/>
    </row>
    <row r="6" spans="1:8" ht="5.0999999999999996" customHeight="1" thickBot="1" x14ac:dyDescent="0.3">
      <c r="C6" s="52"/>
    </row>
    <row r="7" spans="1:8" ht="15.75" thickBot="1" x14ac:dyDescent="0.3">
      <c r="B7" s="53" t="s">
        <v>13</v>
      </c>
      <c r="C7" s="5">
        <f>C5/24</f>
        <v>0</v>
      </c>
    </row>
    <row r="9" spans="1:8" ht="15.75" thickBot="1" x14ac:dyDescent="0.3"/>
    <row r="10" spans="1:8" ht="30" x14ac:dyDescent="0.25">
      <c r="A10" s="32" t="s">
        <v>47</v>
      </c>
      <c r="B10" s="32" t="s">
        <v>14</v>
      </c>
      <c r="C10" s="18" t="s">
        <v>15</v>
      </c>
      <c r="D10" s="18" t="s">
        <v>16</v>
      </c>
      <c r="E10" s="18" t="s">
        <v>28</v>
      </c>
      <c r="F10" s="18" t="s">
        <v>25</v>
      </c>
      <c r="G10" s="19" t="s">
        <v>29</v>
      </c>
      <c r="H10" s="19" t="s">
        <v>26</v>
      </c>
    </row>
    <row r="11" spans="1:8" ht="15" customHeight="1" x14ac:dyDescent="0.25">
      <c r="A11" s="8"/>
      <c r="B11" s="8" t="s">
        <v>0</v>
      </c>
      <c r="C11" s="76" t="str">
        <f>IF(B11="Stormwater Reuse (Square Feet)",IF('Stormwater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Calculations'!$E$30))),VLOOKUP(B11,'BMP List'!$A:$F,6,FALSE))</f>
        <v>(Enter BMP Details Here)</v>
      </c>
      <c r="D11" s="29" t="str">
        <f>VLOOKUP(B11,'BMP List'!$A:$E,5,FALSE)</f>
        <v>Unit</v>
      </c>
      <c r="E11" s="28" t="str">
        <f>IF(ISERROR(VLOOKUP($B11,'BMP List'!A:C,3,FALSE)),"",VLOOKUP($B11,'BMP List'!A:C,3,FALSE))</f>
        <v>TP Credit</v>
      </c>
      <c r="F11" s="27" t="str">
        <f>IF(ISERROR(C11*E11),"",IF(B11="Disconnecting Impervious Surface (Square Feet)",IF((1/24*C11)&lt;($C$7),1/24*E11*C11,$C$7*E11),IF(B11="Underground Storage 1.5x (Cubic Feet)",IF(C11/1.5&gt;$C$7,$C$7*E11,C11/1.5*E11),IF(C11&gt;$C$7,$C$7*E11,C11*E11))))</f>
        <v/>
      </c>
      <c r="G11" s="30" t="str">
        <f>IF(ISERROR((VLOOKUP($B11,'BMP List'!$A:$D,4,FALSE))),"",VLOOKUP($B11,'BMP List'!$A:$D,4,FALSE))</f>
        <v>TSS Credit</v>
      </c>
      <c r="H11" s="33" t="str">
        <f>IF(ISERROR(C11*G11),"",IF(B11="Hydrodynamic Separator (Square Feet)",IF((1/24*G11*C11)&lt;($C$7*G11),1/24*G11*C11,$C$7*G11),IF(B11="Disconnecting Impervious Surface (Square Feet)",IF((1/24*G11*C11)&lt;($C$7*G11),1/24*G11*C11,$C$7*G11),IF(B11="Underground Storage 1.5x (Cubic Feet)",IF(C11/1.5&gt;$C$7,$C$7*E11,C11/1.5*E11),IF(C11&gt;$C$7,$C$7*G11,C11*G11)))))</f>
        <v/>
      </c>
    </row>
    <row r="12" spans="1:8" x14ac:dyDescent="0.25">
      <c r="A12" s="8"/>
      <c r="B12" s="8" t="s">
        <v>0</v>
      </c>
      <c r="C12" s="76" t="str">
        <f>IF(B12="Stormwater Reuse (Square Feet)",IF('Stormwater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Calculations'!$E$30))),VLOOKUP(B12,'BMP List'!$A:$F,6,FALSE))</f>
        <v>(Enter BMP Details Here)</v>
      </c>
      <c r="D12" s="29" t="str">
        <f>VLOOKUP(B12,'BMP List'!$A:$E,5,FALSE)</f>
        <v>Unit</v>
      </c>
      <c r="E12" s="28" t="str">
        <f>IF(ISERROR(VLOOKUP($B12,'BMP List'!A:C,3,FALSE)),"",VLOOKUP($B12,'BMP List'!A:C,3,FALSE))</f>
        <v>TP Credit</v>
      </c>
      <c r="F12" s="27" t="str">
        <f t="shared" ref="F12:F20" si="0">IF(ISERROR(C12*E12),"",IF(B12="Disconnecting Impervious Surface (Square Feet)",IF((1/24*C12)&lt;($C$7),1/24*E12*C12,$C$7*E12),IF(B12="Underground Storage 1.5x (Cubic Feet)",IF(C12/1.5&gt;$C$7,$C$7*E12,C12/1.5*E12),IF(C12&gt;$C$7,$C$7*E12,C12*E12))))</f>
        <v/>
      </c>
      <c r="G12" s="30" t="str">
        <f>IF(ISERROR((VLOOKUP($B12,'BMP List'!$A:$D,4,FALSE))),"",VLOOKUP($B12,'BMP List'!$A:$D,4,FALSE))</f>
        <v>TSS Credit</v>
      </c>
      <c r="H12" s="33" t="str">
        <f t="shared" ref="H12:H20" si="1">IF(ISERROR(C12*G12),"",IF(B12="Hydrodynamic Separator (Square Feet)",IF((1/24*G12*C12)&lt;($C$7*G12),1/24*G12*C12,$C$7*G12),IF(B12="Disconnecting Impervious Surface (Square Feet)",IF((1/24*G12*C12)&lt;($C$7*G12),1/24*G12*C12,$C$7*G12),IF(B12="Underground Storage 1.5x (Cubic Feet)",IF(C12/1.5&gt;$C$7,$C$7*E12,C12/1.5*E12),IF(C12&gt;$C$7,$C$7*G12,C12*G12)))))</f>
        <v/>
      </c>
    </row>
    <row r="13" spans="1:8" ht="15" customHeight="1" x14ac:dyDescent="0.25">
      <c r="A13" s="8"/>
      <c r="B13" s="8" t="s">
        <v>0</v>
      </c>
      <c r="C13" s="76" t="str">
        <f>IF(B13="Stormwater Reuse (Square Feet)",IF('Stormwater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Calculations'!$E$30))),VLOOKUP(B13,'BMP List'!$A:$F,6,FALSE))</f>
        <v>(Enter BMP Details Here)</v>
      </c>
      <c r="D13" s="29" t="str">
        <f>VLOOKUP(B13,'BMP List'!$A:$E,5,FALSE)</f>
        <v>Unit</v>
      </c>
      <c r="E13" s="28" t="str">
        <f>IF(ISERROR(VLOOKUP($B13,'BMP List'!A:C,3,FALSE)),"",VLOOKUP($B13,'BMP List'!A:C,3,FALSE))</f>
        <v>TP Credit</v>
      </c>
      <c r="F13" s="27" t="str">
        <f t="shared" si="0"/>
        <v/>
      </c>
      <c r="G13" s="30" t="str">
        <f>IF(ISERROR((VLOOKUP($B13,'BMP List'!$A:$D,4,FALSE))),"",VLOOKUP($B13,'BMP List'!$A:$D,4,FALSE))</f>
        <v>TSS Credit</v>
      </c>
      <c r="H13" s="33" t="str">
        <f t="shared" si="1"/>
        <v/>
      </c>
    </row>
    <row r="14" spans="1:8" x14ac:dyDescent="0.25">
      <c r="A14" s="8"/>
      <c r="B14" s="8" t="s">
        <v>0</v>
      </c>
      <c r="C14" s="76" t="str">
        <f>IF(B14="Stormwater Reuse (Square Feet)",IF('Stormwater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Calculations'!$E$30))),VLOOKUP(B14,'BMP List'!$A:$F,6,FALSE))</f>
        <v>(Enter BMP Details Here)</v>
      </c>
      <c r="D14" s="29" t="str">
        <f>VLOOKUP(B14,'BMP List'!$A:$E,5,FALSE)</f>
        <v>Unit</v>
      </c>
      <c r="E14" s="28" t="str">
        <f>IF(ISERROR(VLOOKUP($B14,'BMP List'!A:C,3,FALSE)),"",VLOOKUP($B14,'BMP List'!A:C,3,FALSE))</f>
        <v>TP Credit</v>
      </c>
      <c r="F14" s="27" t="str">
        <f t="shared" si="0"/>
        <v/>
      </c>
      <c r="G14" s="30" t="str">
        <f>IF(ISERROR((VLOOKUP($B14,'BMP List'!$A:$D,4,FALSE))),"",VLOOKUP($B14,'BMP List'!$A:$D,4,FALSE))</f>
        <v>TSS Credit</v>
      </c>
      <c r="H14" s="33" t="str">
        <f t="shared" si="1"/>
        <v/>
      </c>
    </row>
    <row r="15" spans="1:8" x14ac:dyDescent="0.25">
      <c r="A15" s="8"/>
      <c r="B15" s="8" t="s">
        <v>0</v>
      </c>
      <c r="C15" s="76" t="str">
        <f>IF(B15="Stormwater Reuse (Square Feet)",IF('Stormwater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Calculations'!$E$30))),VLOOKUP(B15,'BMP List'!$A:$F,6,FALSE))</f>
        <v>(Enter BMP Details Here)</v>
      </c>
      <c r="D15" s="29" t="str">
        <f>VLOOKUP(B15,'BMP List'!$A:$E,5,FALSE)</f>
        <v>Unit</v>
      </c>
      <c r="E15" s="28" t="str">
        <f>IF(ISERROR(VLOOKUP($B15,'BMP List'!A:C,3,FALSE)),"",VLOOKUP($B15,'BMP List'!A:C,3,FALSE))</f>
        <v>TP Credit</v>
      </c>
      <c r="F15" s="27" t="str">
        <f t="shared" si="0"/>
        <v/>
      </c>
      <c r="G15" s="30" t="str">
        <f>IF(ISERROR((VLOOKUP($B15,'BMP List'!$A:$D,4,FALSE))),"",VLOOKUP($B15,'BMP List'!$A:$D,4,FALSE))</f>
        <v>TSS Credit</v>
      </c>
      <c r="H15" s="33" t="str">
        <f t="shared" si="1"/>
        <v/>
      </c>
    </row>
    <row r="16" spans="1:8" x14ac:dyDescent="0.25">
      <c r="A16" s="8"/>
      <c r="B16" s="8" t="s">
        <v>0</v>
      </c>
      <c r="C16" s="76" t="str">
        <f>IF(B16="Stormwater Reuse (Square Feet)",IF('Stormwater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Calculations'!$E$30))),VLOOKUP(B16,'BMP List'!$A:$F,6,FALSE))</f>
        <v>(Enter BMP Details Here)</v>
      </c>
      <c r="D16" s="29" t="str">
        <f>VLOOKUP(B16,'BMP List'!$A:$E,5,FALSE)</f>
        <v>Unit</v>
      </c>
      <c r="E16" s="28" t="str">
        <f>IF(ISERROR(VLOOKUP($B16,'BMP List'!A:C,3,FALSE)),"",VLOOKUP($B16,'BMP List'!A:C,3,FALSE))</f>
        <v>TP Credit</v>
      </c>
      <c r="F16" s="27" t="str">
        <f t="shared" si="0"/>
        <v/>
      </c>
      <c r="G16" s="30" t="str">
        <f>IF(ISERROR((VLOOKUP($B16,'BMP List'!$A:$D,4,FALSE))),"",VLOOKUP($B16,'BMP List'!$A:$D,4,FALSE))</f>
        <v>TSS Credit</v>
      </c>
      <c r="H16" s="33" t="str">
        <f t="shared" si="1"/>
        <v/>
      </c>
    </row>
    <row r="17" spans="1:8" x14ac:dyDescent="0.25">
      <c r="A17" s="8"/>
      <c r="B17" s="8" t="s">
        <v>0</v>
      </c>
      <c r="C17" s="76" t="str">
        <f>IF(B17="Stormwater Reuse (Square Feet)",IF('Stormwater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Calculations'!$E$30))),VLOOKUP(B17,'BMP List'!$A:$F,6,FALSE))</f>
        <v>(Enter BMP Details Here)</v>
      </c>
      <c r="D17" s="29" t="str">
        <f>VLOOKUP(B17,'BMP List'!$A:$E,5,FALSE)</f>
        <v>Unit</v>
      </c>
      <c r="E17" s="28" t="str">
        <f>IF(ISERROR(VLOOKUP($B17,'BMP List'!A:C,3,FALSE)),"",VLOOKUP($B17,'BMP List'!A:C,3,FALSE))</f>
        <v>TP Credit</v>
      </c>
      <c r="F17" s="27" t="str">
        <f t="shared" si="0"/>
        <v/>
      </c>
      <c r="G17" s="30" t="str">
        <f>IF(ISERROR((VLOOKUP($B17,'BMP List'!$A:$D,4,FALSE))),"",VLOOKUP($B17,'BMP List'!$A:$D,4,FALSE))</f>
        <v>TSS Credit</v>
      </c>
      <c r="H17" s="33" t="str">
        <f t="shared" si="1"/>
        <v/>
      </c>
    </row>
    <row r="18" spans="1:8" x14ac:dyDescent="0.25">
      <c r="A18" s="8"/>
      <c r="B18" s="8" t="s">
        <v>0</v>
      </c>
      <c r="C18" s="76" t="str">
        <f>IF(B18="Stormwater Reuse (Square Feet)",IF('Stormwater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Calculations'!$E$30))),VLOOKUP(B18,'BMP List'!$A:$F,6,FALSE))</f>
        <v>(Enter BMP Details Here)</v>
      </c>
      <c r="D18" s="29" t="str">
        <f>VLOOKUP(B18,'BMP List'!$A:$E,5,FALSE)</f>
        <v>Unit</v>
      </c>
      <c r="E18" s="28" t="str">
        <f>IF(ISERROR(VLOOKUP($B18,'BMP List'!A:C,3,FALSE)),"",VLOOKUP($B18,'BMP List'!A:C,3,FALSE))</f>
        <v>TP Credit</v>
      </c>
      <c r="F18" s="27" t="str">
        <f t="shared" si="0"/>
        <v/>
      </c>
      <c r="G18" s="30" t="str">
        <f>IF(ISERROR((VLOOKUP($B18,'BMP List'!$A:$D,4,FALSE))),"",VLOOKUP($B18,'BMP List'!$A:$D,4,FALSE))</f>
        <v>TSS Credit</v>
      </c>
      <c r="H18" s="33" t="str">
        <f t="shared" si="1"/>
        <v/>
      </c>
    </row>
    <row r="19" spans="1:8" ht="15" customHeight="1" x14ac:dyDescent="0.25">
      <c r="A19" s="8"/>
      <c r="B19" s="8" t="s">
        <v>0</v>
      </c>
      <c r="C19" s="76" t="str">
        <f>IF(B19="Stormwater Reuse (Square Feet)",IF('Stormwater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Calculations'!$E$30))),VLOOKUP(B19,'BMP List'!$A:$F,6,FALSE))</f>
        <v>(Enter BMP Details Here)</v>
      </c>
      <c r="D19" s="29" t="str">
        <f>VLOOKUP(B19,'BMP List'!$A:$E,5,FALSE)</f>
        <v>Unit</v>
      </c>
      <c r="E19" s="28" t="str">
        <f>IF(ISERROR(VLOOKUP($B19,'BMP List'!A:C,3,FALSE)),"",VLOOKUP($B19,'BMP List'!A:C,3,FALSE))</f>
        <v>TP Credit</v>
      </c>
      <c r="F19" s="27" t="str">
        <f t="shared" si="0"/>
        <v/>
      </c>
      <c r="G19" s="30" t="str">
        <f>IF(ISERROR((VLOOKUP($B19,'BMP List'!$A:$D,4,FALSE))),"",VLOOKUP($B19,'BMP List'!$A:$D,4,FALSE))</f>
        <v>TSS Credit</v>
      </c>
      <c r="H19" s="33" t="str">
        <f t="shared" si="1"/>
        <v/>
      </c>
    </row>
    <row r="20" spans="1:8" ht="15.75" thickBot="1" x14ac:dyDescent="0.3">
      <c r="A20" s="10"/>
      <c r="B20" s="10" t="s">
        <v>0</v>
      </c>
      <c r="C20" s="77" t="str">
        <f>IF(B20="Stormwater Reuse (Square Feet)",IF('Stormwater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Calculations'!$E$30))),VLOOKUP(B20,'BMP List'!$A:$F,6,FALSE))</f>
        <v>(Enter BMP Details Here)</v>
      </c>
      <c r="D20" s="34" t="str">
        <f>VLOOKUP(B20,'BMP List'!$A:$E,5,FALSE)</f>
        <v>Unit</v>
      </c>
      <c r="E20" s="35" t="str">
        <f>IF(ISERROR(VLOOKUP($B20,'BMP List'!A:C,3,FALSE)),"",VLOOKUP($B20,'BMP List'!A:C,3,FALSE))</f>
        <v>TP Credit</v>
      </c>
      <c r="F20" s="83" t="str">
        <f t="shared" si="0"/>
        <v/>
      </c>
      <c r="G20" s="44" t="str">
        <f>IF(ISERROR((VLOOKUP($B20,'BMP List'!$A:$D,4,FALSE))),"",VLOOKUP($B20,'BMP List'!$A:$D,4,FALSE))</f>
        <v>TSS Credit</v>
      </c>
      <c r="H20" s="36" t="str">
        <f t="shared" si="1"/>
        <v/>
      </c>
    </row>
    <row r="21" spans="1:8" ht="15.75" thickBot="1" x14ac:dyDescent="0.3">
      <c r="B21" s="63"/>
      <c r="C21" s="63"/>
      <c r="D21" s="31" t="s">
        <v>17</v>
      </c>
      <c r="F21" s="26">
        <f>SUM(F11:F20)</f>
        <v>0</v>
      </c>
      <c r="H21" s="26">
        <f>SUM(H11:H20)</f>
        <v>0</v>
      </c>
    </row>
    <row r="22" spans="1:8" ht="16.5" customHeight="1" thickTop="1" thickBot="1" x14ac:dyDescent="0.3">
      <c r="D22" s="12" t="s">
        <v>18</v>
      </c>
      <c r="F22" s="20" t="e">
        <f>IF((F21/($C$7*0.9))&gt;1,"&gt;100%",F21/($C$7*0.9))</f>
        <v>#DIV/0!</v>
      </c>
      <c r="H22" s="20" t="e">
        <f>IF((H21/($C$7*0.9))&gt;1,"&gt;100%",H21/($C$7*0.9))</f>
        <v>#DIV/0!</v>
      </c>
    </row>
    <row r="23" spans="1:8" ht="16.5" thickTop="1" thickBot="1" x14ac:dyDescent="0.3">
      <c r="D23" s="12" t="s">
        <v>24</v>
      </c>
      <c r="F23" s="12" t="e">
        <f>IF(F22&gt;=100%,"YES","NO")</f>
        <v>#DIV/0!</v>
      </c>
      <c r="H23" s="12" t="e">
        <f>IF(H22&gt;=100%,"YES","NO")</f>
        <v>#DIV/0!</v>
      </c>
    </row>
    <row r="24" spans="1:8" ht="15.75" thickTop="1" x14ac:dyDescent="0.25">
      <c r="D24" s="79"/>
      <c r="E24" s="70"/>
      <c r="F24" s="80"/>
      <c r="G24" s="70"/>
      <c r="H24" s="80"/>
    </row>
    <row r="25" spans="1:8" x14ac:dyDescent="0.25">
      <c r="F25" s="56"/>
    </row>
    <row r="32" spans="1:8" ht="23.25" x14ac:dyDescent="0.25">
      <c r="B32" s="45" t="s">
        <v>19</v>
      </c>
    </row>
    <row r="34" spans="2:8" ht="23.25" x14ac:dyDescent="0.25">
      <c r="B34" s="72" t="s">
        <v>20</v>
      </c>
    </row>
    <row r="35" spans="2:8" ht="15.75" thickBot="1" x14ac:dyDescent="0.3"/>
    <row r="36" spans="2:8" ht="24.75" thickTop="1" thickBot="1" x14ac:dyDescent="0.3">
      <c r="B36" s="73" t="s">
        <v>21</v>
      </c>
    </row>
    <row r="37" spans="2:8" ht="15.75" thickTop="1" x14ac:dyDescent="0.25"/>
    <row r="46" spans="2:8" ht="16.5" hidden="1" thickTop="1" thickBot="1" x14ac:dyDescent="0.3">
      <c r="D46" s="13" t="s">
        <v>51</v>
      </c>
      <c r="F46" s="78">
        <f>(IF(F11="",0,E11*$C$11)+IF(F12="",0,E12*$C$12)+IF(F13="",0,E13*$C$13)+IF(F14="",0,E14*$C$14)+IF(F15="",0,E15*$C$15)+IF(F16="",0,E16*$C$16)+IF(F17="",0,E17*$C$17)+IF(F18="",0,E18*$C$18)+IF(F19="",0,E19*$C$19)+IF(F20="",0,E20*$C$20))-($C$7*0.9)</f>
        <v>0</v>
      </c>
      <c r="H46" s="78">
        <f>(IF(H11="",0,G11*$C$11)+IF(H12="",0,G12*$C$12)+IF(H13="",0,G13*$C$13)+IF(H14="",0,G14*$C$14)+IF(H15="",0,G15*$C$15)+IF(H16="",0,G16*$C$16)+IF(H17="",0,G17*$C$17)+IF(H18="",0,G18*$C$18)+IF(H19="",0,G19*$C$19)+IF(H20="",0,G20*$C$20))-($C$7*0.9)</f>
        <v>0</v>
      </c>
    </row>
  </sheetData>
  <conditionalFormatting sqref="F46 H46">
    <cfRule type="cellIs" dxfId="47" priority="3" operator="lessThan">
      <formula>0</formula>
    </cfRule>
    <cfRule type="cellIs" dxfId="46" priority="4" operator="greaterThan">
      <formula>0</formula>
    </cfRule>
  </conditionalFormatting>
  <conditionalFormatting sqref="F24 H24">
    <cfRule type="cellIs" dxfId="45" priority="5" operator="lessThan">
      <formula>0</formula>
    </cfRule>
    <cfRule type="cellIs" dxfId="44" priority="6" operator="greaterThan">
      <formula>0</formula>
    </cfRule>
  </conditionalFormatting>
  <conditionalFormatting sqref="F23 H23">
    <cfRule type="containsText" dxfId="43" priority="1" operator="containsText" text="yes">
      <formula>NOT(ISERROR(SEARCH("yes",F23)))</formula>
    </cfRule>
    <cfRule type="containsText" dxfId="42" priority="2" operator="containsText" text="No">
      <formula>NOT(ISERROR(SEARCH("No",F23)))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FA654B6-4E16-47E6-83F8-8B571458FFFA}">
          <x14:formula1>
            <xm:f>'BMP List'!$A$1:$A$22</xm:f>
          </x14:formula1>
          <xm:sqref>B11:B20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1BCEE-3657-4633-B710-4ADD807B0F5E}">
  <sheetPr>
    <tabColor theme="8" tint="-0.249977111117893"/>
  </sheetPr>
  <dimension ref="A1:H46"/>
  <sheetViews>
    <sheetView zoomScale="80" zoomScaleNormal="80" workbookViewId="0">
      <selection activeCell="B43" sqref="B43"/>
    </sheetView>
  </sheetViews>
  <sheetFormatPr defaultColWidth="9.140625" defaultRowHeight="15" x14ac:dyDescent="0.25"/>
  <cols>
    <col min="1" max="1" width="11.7109375" style="47" customWidth="1"/>
    <col min="2" max="2" width="50.85546875" style="47" bestFit="1" customWidth="1"/>
    <col min="3" max="3" width="32.85546875" style="47" bestFit="1" customWidth="1"/>
    <col min="4" max="4" width="39.5703125" style="47" customWidth="1"/>
    <col min="5" max="5" width="13.85546875" style="47" bestFit="1" customWidth="1"/>
    <col min="6" max="6" width="24.28515625" style="47" customWidth="1"/>
    <col min="7" max="7" width="15.140625" style="47" bestFit="1" customWidth="1"/>
    <col min="8" max="8" width="24.28515625" style="47" customWidth="1"/>
    <col min="9" max="16384" width="9.140625" style="47"/>
  </cols>
  <sheetData>
    <row r="1" spans="1:8" x14ac:dyDescent="0.25">
      <c r="B1" s="48" t="s">
        <v>30</v>
      </c>
      <c r="C1" s="24"/>
    </row>
    <row r="3" spans="1:8" x14ac:dyDescent="0.25">
      <c r="B3" s="48" t="s">
        <v>27</v>
      </c>
      <c r="C3" s="24">
        <v>0</v>
      </c>
    </row>
    <row r="4" spans="1:8" s="51" customFormat="1" ht="4.5" customHeight="1" x14ac:dyDescent="0.25">
      <c r="B4" s="49"/>
      <c r="C4" s="50"/>
    </row>
    <row r="5" spans="1:8" x14ac:dyDescent="0.25">
      <c r="B5" s="48" t="s">
        <v>11</v>
      </c>
      <c r="C5" s="25">
        <f>C3*43560</f>
        <v>0</v>
      </c>
      <c r="F5" s="75"/>
    </row>
    <row r="6" spans="1:8" ht="5.0999999999999996" customHeight="1" thickBot="1" x14ac:dyDescent="0.3">
      <c r="C6" s="52"/>
    </row>
    <row r="7" spans="1:8" ht="15.75" thickBot="1" x14ac:dyDescent="0.3">
      <c r="B7" s="53" t="s">
        <v>13</v>
      </c>
      <c r="C7" s="5">
        <f>C5/24</f>
        <v>0</v>
      </c>
    </row>
    <row r="9" spans="1:8" ht="15.75" thickBot="1" x14ac:dyDescent="0.3"/>
    <row r="10" spans="1:8" ht="30" x14ac:dyDescent="0.25">
      <c r="A10" s="32" t="s">
        <v>47</v>
      </c>
      <c r="B10" s="32" t="s">
        <v>14</v>
      </c>
      <c r="C10" s="18" t="s">
        <v>15</v>
      </c>
      <c r="D10" s="18" t="s">
        <v>16</v>
      </c>
      <c r="E10" s="18" t="s">
        <v>28</v>
      </c>
      <c r="F10" s="18" t="s">
        <v>25</v>
      </c>
      <c r="G10" s="19" t="s">
        <v>29</v>
      </c>
      <c r="H10" s="19" t="s">
        <v>26</v>
      </c>
    </row>
    <row r="11" spans="1:8" ht="15" customHeight="1" x14ac:dyDescent="0.25">
      <c r="A11" s="8"/>
      <c r="B11" s="8" t="s">
        <v>0</v>
      </c>
      <c r="C11" s="76" t="str">
        <f>IF(B11="Stormwater Reuse (Square Feet)",IF('Stormwater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Calculations'!$E$30))),VLOOKUP(B11,'BMP List'!$A:$F,6,FALSE))</f>
        <v>(Enter BMP Details Here)</v>
      </c>
      <c r="D11" s="29" t="str">
        <f>VLOOKUP(B11,'BMP List'!$A:$E,5,FALSE)</f>
        <v>Unit</v>
      </c>
      <c r="E11" s="28" t="str">
        <f>IF(ISERROR(VLOOKUP($B11,'BMP List'!A:C,3,FALSE)),"",VLOOKUP($B11,'BMP List'!A:C,3,FALSE))</f>
        <v>TP Credit</v>
      </c>
      <c r="F11" s="27" t="str">
        <f>IF(ISERROR(C11*E11),"",IF(B11="Disconnecting Impervious Surface (Square Feet)",IF((1/24*C11)&lt;($C$7),1/24*E11*C11,$C$7*E11),IF(B11="Underground Storage 1.5x (Cubic Feet)",IF(C11/1.5&gt;$C$7,$C$7*E11,C11/1.5*E11),IF(C11&gt;$C$7,$C$7*E11,C11*E11))))</f>
        <v/>
      </c>
      <c r="G11" s="30" t="str">
        <f>IF(ISERROR((VLOOKUP($B11,'BMP List'!$A:$D,4,FALSE))),"",VLOOKUP($B11,'BMP List'!$A:$D,4,FALSE))</f>
        <v>TSS Credit</v>
      </c>
      <c r="H11" s="33" t="str">
        <f>IF(ISERROR(C11*G11),"",IF(B11="Hydrodynamic Separator (Square Feet)",IF((1/24*G11*C11)&lt;($C$7*G11),1/24*G11*C11,$C$7*G11),IF(B11="Disconnecting Impervious Surface (Square Feet)",IF((1/24*G11*C11)&lt;($C$7*G11),1/24*G11*C11,$C$7*G11),IF(B11="Underground Storage 1.5x (Cubic Feet)",IF(C11/1.5&gt;$C$7,$C$7*E11,C11/1.5*E11),IF(C11&gt;$C$7,$C$7*G11,C11*G11)))))</f>
        <v/>
      </c>
    </row>
    <row r="12" spans="1:8" x14ac:dyDescent="0.25">
      <c r="A12" s="8"/>
      <c r="B12" s="8" t="s">
        <v>0</v>
      </c>
      <c r="C12" s="76" t="str">
        <f>IF(B12="Stormwater Reuse (Square Feet)",IF('Stormwater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Calculations'!$E$30))),VLOOKUP(B12,'BMP List'!$A:$F,6,FALSE))</f>
        <v>(Enter BMP Details Here)</v>
      </c>
      <c r="D12" s="29" t="str">
        <f>VLOOKUP(B12,'BMP List'!$A:$E,5,FALSE)</f>
        <v>Unit</v>
      </c>
      <c r="E12" s="28" t="str">
        <f>IF(ISERROR(VLOOKUP($B12,'BMP List'!A:C,3,FALSE)),"",VLOOKUP($B12,'BMP List'!A:C,3,FALSE))</f>
        <v>TP Credit</v>
      </c>
      <c r="F12" s="27" t="str">
        <f t="shared" ref="F12:F20" si="0">IF(ISERROR(C12*E12),"",IF(B12="Disconnecting Impervious Surface (Square Feet)",IF((1/24*C12)&lt;($C$7),1/24*E12*C12,$C$7*E12),IF(B12="Underground Storage 1.5x (Cubic Feet)",IF(C12/1.5&gt;$C$7,$C$7*E12,C12/1.5*E12),IF(C12&gt;$C$7,$C$7*E12,C12*E12))))</f>
        <v/>
      </c>
      <c r="G12" s="30" t="str">
        <f>IF(ISERROR((VLOOKUP($B12,'BMP List'!$A:$D,4,FALSE))),"",VLOOKUP($B12,'BMP List'!$A:$D,4,FALSE))</f>
        <v>TSS Credit</v>
      </c>
      <c r="H12" s="33" t="str">
        <f t="shared" ref="H12:H20" si="1">IF(ISERROR(C12*G12),"",IF(B12="Hydrodynamic Separator (Square Feet)",IF((1/24*G12*C12)&lt;($C$7*G12),1/24*G12*C12,$C$7*G12),IF(B12="Disconnecting Impervious Surface (Square Feet)",IF((1/24*G12*C12)&lt;($C$7*G12),1/24*G12*C12,$C$7*G12),IF(B12="Underground Storage 1.5x (Cubic Feet)",IF(C12/1.5&gt;$C$7,$C$7*E12,C12/1.5*E12),IF(C12&gt;$C$7,$C$7*G12,C12*G12)))))</f>
        <v/>
      </c>
    </row>
    <row r="13" spans="1:8" ht="15" customHeight="1" x14ac:dyDescent="0.25">
      <c r="A13" s="8"/>
      <c r="B13" s="8" t="s">
        <v>0</v>
      </c>
      <c r="C13" s="76" t="str">
        <f>IF(B13="Stormwater Reuse (Square Feet)",IF('Stormwater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Calculations'!$E$30))),VLOOKUP(B13,'BMP List'!$A:$F,6,FALSE))</f>
        <v>(Enter BMP Details Here)</v>
      </c>
      <c r="D13" s="29" t="str">
        <f>VLOOKUP(B13,'BMP List'!$A:$E,5,FALSE)</f>
        <v>Unit</v>
      </c>
      <c r="E13" s="28" t="str">
        <f>IF(ISERROR(VLOOKUP($B13,'BMP List'!A:C,3,FALSE)),"",VLOOKUP($B13,'BMP List'!A:C,3,FALSE))</f>
        <v>TP Credit</v>
      </c>
      <c r="F13" s="27" t="str">
        <f t="shared" si="0"/>
        <v/>
      </c>
      <c r="G13" s="30" t="str">
        <f>IF(ISERROR((VLOOKUP($B13,'BMP List'!$A:$D,4,FALSE))),"",VLOOKUP($B13,'BMP List'!$A:$D,4,FALSE))</f>
        <v>TSS Credit</v>
      </c>
      <c r="H13" s="33" t="str">
        <f t="shared" si="1"/>
        <v/>
      </c>
    </row>
    <row r="14" spans="1:8" x14ac:dyDescent="0.25">
      <c r="A14" s="8"/>
      <c r="B14" s="8" t="s">
        <v>0</v>
      </c>
      <c r="C14" s="76" t="str">
        <f>IF(B14="Stormwater Reuse (Square Feet)",IF('Stormwater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Calculations'!$E$30))),VLOOKUP(B14,'BMP List'!$A:$F,6,FALSE))</f>
        <v>(Enter BMP Details Here)</v>
      </c>
      <c r="D14" s="29" t="str">
        <f>VLOOKUP(B14,'BMP List'!$A:$E,5,FALSE)</f>
        <v>Unit</v>
      </c>
      <c r="E14" s="28" t="str">
        <f>IF(ISERROR(VLOOKUP($B14,'BMP List'!A:C,3,FALSE)),"",VLOOKUP($B14,'BMP List'!A:C,3,FALSE))</f>
        <v>TP Credit</v>
      </c>
      <c r="F14" s="27" t="str">
        <f t="shared" si="0"/>
        <v/>
      </c>
      <c r="G14" s="30" t="str">
        <f>IF(ISERROR((VLOOKUP($B14,'BMP List'!$A:$D,4,FALSE))),"",VLOOKUP($B14,'BMP List'!$A:$D,4,FALSE))</f>
        <v>TSS Credit</v>
      </c>
      <c r="H14" s="33" t="str">
        <f t="shared" si="1"/>
        <v/>
      </c>
    </row>
    <row r="15" spans="1:8" x14ac:dyDescent="0.25">
      <c r="A15" s="8"/>
      <c r="B15" s="8" t="s">
        <v>0</v>
      </c>
      <c r="C15" s="76" t="str">
        <f>IF(B15="Stormwater Reuse (Square Feet)",IF('Stormwater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Calculations'!$E$30))),VLOOKUP(B15,'BMP List'!$A:$F,6,FALSE))</f>
        <v>(Enter BMP Details Here)</v>
      </c>
      <c r="D15" s="29" t="str">
        <f>VLOOKUP(B15,'BMP List'!$A:$E,5,FALSE)</f>
        <v>Unit</v>
      </c>
      <c r="E15" s="28" t="str">
        <f>IF(ISERROR(VLOOKUP($B15,'BMP List'!A:C,3,FALSE)),"",VLOOKUP($B15,'BMP List'!A:C,3,FALSE))</f>
        <v>TP Credit</v>
      </c>
      <c r="F15" s="27" t="str">
        <f t="shared" si="0"/>
        <v/>
      </c>
      <c r="G15" s="30" t="str">
        <f>IF(ISERROR((VLOOKUP($B15,'BMP List'!$A:$D,4,FALSE))),"",VLOOKUP($B15,'BMP List'!$A:$D,4,FALSE))</f>
        <v>TSS Credit</v>
      </c>
      <c r="H15" s="33" t="str">
        <f t="shared" si="1"/>
        <v/>
      </c>
    </row>
    <row r="16" spans="1:8" x14ac:dyDescent="0.25">
      <c r="A16" s="8"/>
      <c r="B16" s="8" t="s">
        <v>0</v>
      </c>
      <c r="C16" s="76" t="str">
        <f>IF(B16="Stormwater Reuse (Square Feet)",IF('Stormwater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Calculations'!$E$30))),VLOOKUP(B16,'BMP List'!$A:$F,6,FALSE))</f>
        <v>(Enter BMP Details Here)</v>
      </c>
      <c r="D16" s="29" t="str">
        <f>VLOOKUP(B16,'BMP List'!$A:$E,5,FALSE)</f>
        <v>Unit</v>
      </c>
      <c r="E16" s="28" t="str">
        <f>IF(ISERROR(VLOOKUP($B16,'BMP List'!A:C,3,FALSE)),"",VLOOKUP($B16,'BMP List'!A:C,3,FALSE))</f>
        <v>TP Credit</v>
      </c>
      <c r="F16" s="27" t="str">
        <f t="shared" si="0"/>
        <v/>
      </c>
      <c r="G16" s="30" t="str">
        <f>IF(ISERROR((VLOOKUP($B16,'BMP List'!$A:$D,4,FALSE))),"",VLOOKUP($B16,'BMP List'!$A:$D,4,FALSE))</f>
        <v>TSS Credit</v>
      </c>
      <c r="H16" s="33" t="str">
        <f t="shared" si="1"/>
        <v/>
      </c>
    </row>
    <row r="17" spans="1:8" x14ac:dyDescent="0.25">
      <c r="A17" s="8"/>
      <c r="B17" s="8" t="s">
        <v>0</v>
      </c>
      <c r="C17" s="76" t="str">
        <f>IF(B17="Stormwater Reuse (Square Feet)",IF('Stormwater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Calculations'!$E$30))),VLOOKUP(B17,'BMP List'!$A:$F,6,FALSE))</f>
        <v>(Enter BMP Details Here)</v>
      </c>
      <c r="D17" s="29" t="str">
        <f>VLOOKUP(B17,'BMP List'!$A:$E,5,FALSE)</f>
        <v>Unit</v>
      </c>
      <c r="E17" s="28" t="str">
        <f>IF(ISERROR(VLOOKUP($B17,'BMP List'!A:C,3,FALSE)),"",VLOOKUP($B17,'BMP List'!A:C,3,FALSE))</f>
        <v>TP Credit</v>
      </c>
      <c r="F17" s="27" t="str">
        <f t="shared" si="0"/>
        <v/>
      </c>
      <c r="G17" s="30" t="str">
        <f>IF(ISERROR((VLOOKUP($B17,'BMP List'!$A:$D,4,FALSE))),"",VLOOKUP($B17,'BMP List'!$A:$D,4,FALSE))</f>
        <v>TSS Credit</v>
      </c>
      <c r="H17" s="33" t="str">
        <f t="shared" si="1"/>
        <v/>
      </c>
    </row>
    <row r="18" spans="1:8" x14ac:dyDescent="0.25">
      <c r="A18" s="8"/>
      <c r="B18" s="8" t="s">
        <v>0</v>
      </c>
      <c r="C18" s="76" t="str">
        <f>IF(B18="Stormwater Reuse (Square Feet)",IF('Stormwater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Calculations'!$E$30))),VLOOKUP(B18,'BMP List'!$A:$F,6,FALSE))</f>
        <v>(Enter BMP Details Here)</v>
      </c>
      <c r="D18" s="29" t="str">
        <f>VLOOKUP(B18,'BMP List'!$A:$E,5,FALSE)</f>
        <v>Unit</v>
      </c>
      <c r="E18" s="28" t="str">
        <f>IF(ISERROR(VLOOKUP($B18,'BMP List'!A:C,3,FALSE)),"",VLOOKUP($B18,'BMP List'!A:C,3,FALSE))</f>
        <v>TP Credit</v>
      </c>
      <c r="F18" s="27" t="str">
        <f t="shared" si="0"/>
        <v/>
      </c>
      <c r="G18" s="30" t="str">
        <f>IF(ISERROR((VLOOKUP($B18,'BMP List'!$A:$D,4,FALSE))),"",VLOOKUP($B18,'BMP List'!$A:$D,4,FALSE))</f>
        <v>TSS Credit</v>
      </c>
      <c r="H18" s="33" t="str">
        <f t="shared" si="1"/>
        <v/>
      </c>
    </row>
    <row r="19" spans="1:8" ht="15" customHeight="1" x14ac:dyDescent="0.25">
      <c r="A19" s="8"/>
      <c r="B19" s="8" t="s">
        <v>0</v>
      </c>
      <c r="C19" s="76" t="str">
        <f>IF(B19="Stormwater Reuse (Square Feet)",IF('Stormwater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Calculations'!$E$30))),VLOOKUP(B19,'BMP List'!$A:$F,6,FALSE))</f>
        <v>(Enter BMP Details Here)</v>
      </c>
      <c r="D19" s="29" t="str">
        <f>VLOOKUP(B19,'BMP List'!$A:$E,5,FALSE)</f>
        <v>Unit</v>
      </c>
      <c r="E19" s="28" t="str">
        <f>IF(ISERROR(VLOOKUP($B19,'BMP List'!A:C,3,FALSE)),"",VLOOKUP($B19,'BMP List'!A:C,3,FALSE))</f>
        <v>TP Credit</v>
      </c>
      <c r="F19" s="27" t="str">
        <f t="shared" si="0"/>
        <v/>
      </c>
      <c r="G19" s="30" t="str">
        <f>IF(ISERROR((VLOOKUP($B19,'BMP List'!$A:$D,4,FALSE))),"",VLOOKUP($B19,'BMP List'!$A:$D,4,FALSE))</f>
        <v>TSS Credit</v>
      </c>
      <c r="H19" s="33" t="str">
        <f t="shared" si="1"/>
        <v/>
      </c>
    </row>
    <row r="20" spans="1:8" ht="15.75" thickBot="1" x14ac:dyDescent="0.3">
      <c r="A20" s="10"/>
      <c r="B20" s="10" t="s">
        <v>0</v>
      </c>
      <c r="C20" s="77" t="str">
        <f>IF(B20="Stormwater Reuse (Square Feet)",IF('Stormwater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Calculations'!$E$30))),VLOOKUP(B20,'BMP List'!$A:$F,6,FALSE))</f>
        <v>(Enter BMP Details Here)</v>
      </c>
      <c r="D20" s="34" t="str">
        <f>VLOOKUP(B20,'BMP List'!$A:$E,5,FALSE)</f>
        <v>Unit</v>
      </c>
      <c r="E20" s="35" t="str">
        <f>IF(ISERROR(VLOOKUP($B20,'BMP List'!A:C,3,FALSE)),"",VLOOKUP($B20,'BMP List'!A:C,3,FALSE))</f>
        <v>TP Credit</v>
      </c>
      <c r="F20" s="83" t="str">
        <f t="shared" si="0"/>
        <v/>
      </c>
      <c r="G20" s="44" t="str">
        <f>IF(ISERROR((VLOOKUP($B20,'BMP List'!$A:$D,4,FALSE))),"",VLOOKUP($B20,'BMP List'!$A:$D,4,FALSE))</f>
        <v>TSS Credit</v>
      </c>
      <c r="H20" s="36" t="str">
        <f t="shared" si="1"/>
        <v/>
      </c>
    </row>
    <row r="21" spans="1:8" ht="15.75" thickBot="1" x14ac:dyDescent="0.3">
      <c r="B21" s="63"/>
      <c r="C21" s="63"/>
      <c r="D21" s="31" t="s">
        <v>17</v>
      </c>
      <c r="F21" s="26">
        <f>SUM(F11:F20)</f>
        <v>0</v>
      </c>
      <c r="H21" s="26">
        <f>SUM(H11:H20)</f>
        <v>0</v>
      </c>
    </row>
    <row r="22" spans="1:8" ht="16.5" customHeight="1" thickTop="1" thickBot="1" x14ac:dyDescent="0.3">
      <c r="D22" s="12" t="s">
        <v>18</v>
      </c>
      <c r="F22" s="20" t="e">
        <f>IF((F21/($C$7*0.9))&gt;1,"&gt;100%",F21/($C$7*0.9))</f>
        <v>#DIV/0!</v>
      </c>
      <c r="H22" s="20" t="e">
        <f>IF((H21/($C$7*0.9))&gt;1,"&gt;100%",H21/($C$7*0.9))</f>
        <v>#DIV/0!</v>
      </c>
    </row>
    <row r="23" spans="1:8" ht="16.5" thickTop="1" thickBot="1" x14ac:dyDescent="0.3">
      <c r="D23" s="12" t="s">
        <v>24</v>
      </c>
      <c r="F23" s="12" t="e">
        <f>IF(F22&gt;=100%,"YES","NO")</f>
        <v>#DIV/0!</v>
      </c>
      <c r="H23" s="12" t="e">
        <f>IF(H22&gt;=100%,"YES","NO")</f>
        <v>#DIV/0!</v>
      </c>
    </row>
    <row r="24" spans="1:8" ht="15.75" thickTop="1" x14ac:dyDescent="0.25">
      <c r="D24" s="79"/>
      <c r="E24" s="70"/>
      <c r="F24" s="80"/>
      <c r="G24" s="70"/>
      <c r="H24" s="80"/>
    </row>
    <row r="25" spans="1:8" x14ac:dyDescent="0.25">
      <c r="F25" s="56"/>
    </row>
    <row r="32" spans="1:8" ht="23.25" x14ac:dyDescent="0.25">
      <c r="B32" s="45" t="s">
        <v>19</v>
      </c>
    </row>
    <row r="34" spans="2:8" ht="23.25" x14ac:dyDescent="0.25">
      <c r="B34" s="72" t="s">
        <v>20</v>
      </c>
    </row>
    <row r="35" spans="2:8" ht="15.75" thickBot="1" x14ac:dyDescent="0.3"/>
    <row r="36" spans="2:8" ht="24.75" thickTop="1" thickBot="1" x14ac:dyDescent="0.3">
      <c r="B36" s="73" t="s">
        <v>21</v>
      </c>
    </row>
    <row r="37" spans="2:8" ht="15.75" thickTop="1" x14ac:dyDescent="0.25"/>
    <row r="46" spans="2:8" ht="16.5" hidden="1" thickTop="1" thickBot="1" x14ac:dyDescent="0.3">
      <c r="D46" s="13" t="s">
        <v>51</v>
      </c>
      <c r="F46" s="78">
        <f>(IF(F11="",0,E11*$C$11)+IF(F12="",0,E12*$C$12)+IF(F13="",0,E13*$C$13)+IF(F14="",0,E14*$C$14)+IF(F15="",0,E15*$C$15)+IF(F16="",0,E16*$C$16)+IF(F17="",0,E17*$C$17)+IF(F18="",0,E18*$C$18)+IF(F19="",0,E19*$C$19)+IF(F20="",0,E20*$C$20))-($C$7*0.9)</f>
        <v>0</v>
      </c>
      <c r="H46" s="78">
        <f>(IF(H11="",0,G11*$C$11)+IF(H12="",0,G12*$C$12)+IF(H13="",0,G13*$C$13)+IF(H14="",0,G14*$C$14)+IF(H15="",0,G15*$C$15)+IF(H16="",0,G16*$C$16)+IF(H17="",0,G17*$C$17)+IF(H18="",0,G18*$C$18)+IF(H19="",0,G19*$C$19)+IF(H20="",0,G20*$C$20))-($C$7*0.9)</f>
        <v>0</v>
      </c>
    </row>
  </sheetData>
  <conditionalFormatting sqref="F46 H46">
    <cfRule type="cellIs" dxfId="41" priority="3" operator="lessThan">
      <formula>0</formula>
    </cfRule>
    <cfRule type="cellIs" dxfId="40" priority="4" operator="greaterThan">
      <formula>0</formula>
    </cfRule>
  </conditionalFormatting>
  <conditionalFormatting sqref="F24 H24">
    <cfRule type="cellIs" dxfId="39" priority="5" operator="lessThan">
      <formula>0</formula>
    </cfRule>
    <cfRule type="cellIs" dxfId="38" priority="6" operator="greaterThan">
      <formula>0</formula>
    </cfRule>
  </conditionalFormatting>
  <conditionalFormatting sqref="F23 H23">
    <cfRule type="containsText" dxfId="37" priority="1" operator="containsText" text="yes">
      <formula>NOT(ISERROR(SEARCH("yes",F23)))</formula>
    </cfRule>
    <cfRule type="containsText" dxfId="36" priority="2" operator="containsText" text="No">
      <formula>NOT(ISERROR(SEARCH("No",F23)))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0A5BEAE-50D3-4ACC-92C4-EB0381F330E0}">
          <x14:formula1>
            <xm:f>'BMP List'!$A$1:$A$22</xm:f>
          </x14:formula1>
          <xm:sqref>B11:B20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1C4AE-E02D-4C0B-BB05-71EFD4652AF9}">
  <sheetPr>
    <tabColor theme="8" tint="-0.249977111117893"/>
  </sheetPr>
  <dimension ref="A1:H46"/>
  <sheetViews>
    <sheetView zoomScale="80" zoomScaleNormal="80" workbookViewId="0">
      <selection activeCell="B43" sqref="B43"/>
    </sheetView>
  </sheetViews>
  <sheetFormatPr defaultColWidth="9.140625" defaultRowHeight="15" x14ac:dyDescent="0.25"/>
  <cols>
    <col min="1" max="1" width="11.7109375" style="47" customWidth="1"/>
    <col min="2" max="2" width="50.85546875" style="47" bestFit="1" customWidth="1"/>
    <col min="3" max="3" width="32.85546875" style="47" bestFit="1" customWidth="1"/>
    <col min="4" max="4" width="39.5703125" style="47" customWidth="1"/>
    <col min="5" max="5" width="13.85546875" style="47" bestFit="1" customWidth="1"/>
    <col min="6" max="6" width="24.28515625" style="47" customWidth="1"/>
    <col min="7" max="7" width="15.140625" style="47" bestFit="1" customWidth="1"/>
    <col min="8" max="8" width="24.28515625" style="47" customWidth="1"/>
    <col min="9" max="16384" width="9.140625" style="47"/>
  </cols>
  <sheetData>
    <row r="1" spans="1:8" x14ac:dyDescent="0.25">
      <c r="B1" s="48" t="s">
        <v>30</v>
      </c>
      <c r="C1" s="24"/>
    </row>
    <row r="3" spans="1:8" x14ac:dyDescent="0.25">
      <c r="B3" s="48" t="s">
        <v>27</v>
      </c>
      <c r="C3" s="24">
        <v>0</v>
      </c>
    </row>
    <row r="4" spans="1:8" s="51" customFormat="1" ht="4.5" customHeight="1" x14ac:dyDescent="0.25">
      <c r="B4" s="49"/>
      <c r="C4" s="50"/>
    </row>
    <row r="5" spans="1:8" x14ac:dyDescent="0.25">
      <c r="B5" s="48" t="s">
        <v>11</v>
      </c>
      <c r="C5" s="25">
        <f>C3*43560</f>
        <v>0</v>
      </c>
      <c r="F5" s="75"/>
    </row>
    <row r="6" spans="1:8" ht="5.0999999999999996" customHeight="1" thickBot="1" x14ac:dyDescent="0.3">
      <c r="C6" s="52"/>
    </row>
    <row r="7" spans="1:8" ht="15.75" thickBot="1" x14ac:dyDescent="0.3">
      <c r="B7" s="53" t="s">
        <v>13</v>
      </c>
      <c r="C7" s="5">
        <f>C5/24</f>
        <v>0</v>
      </c>
    </row>
    <row r="9" spans="1:8" ht="15.75" thickBot="1" x14ac:dyDescent="0.3"/>
    <row r="10" spans="1:8" ht="30" x14ac:dyDescent="0.25">
      <c r="A10" s="32" t="s">
        <v>47</v>
      </c>
      <c r="B10" s="32" t="s">
        <v>14</v>
      </c>
      <c r="C10" s="18" t="s">
        <v>15</v>
      </c>
      <c r="D10" s="18" t="s">
        <v>16</v>
      </c>
      <c r="E10" s="18" t="s">
        <v>28</v>
      </c>
      <c r="F10" s="18" t="s">
        <v>25</v>
      </c>
      <c r="G10" s="19" t="s">
        <v>29</v>
      </c>
      <c r="H10" s="19" t="s">
        <v>26</v>
      </c>
    </row>
    <row r="11" spans="1:8" ht="15" customHeight="1" x14ac:dyDescent="0.25">
      <c r="A11" s="8"/>
      <c r="B11" s="8" t="s">
        <v>0</v>
      </c>
      <c r="C11" s="76" t="str">
        <f>IF(B11="Stormwater Reuse (Square Feet)",IF('Stormwater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Calculations'!$E$30))),VLOOKUP(B11,'BMP List'!$A:$F,6,FALSE))</f>
        <v>(Enter BMP Details Here)</v>
      </c>
      <c r="D11" s="29" t="str">
        <f>VLOOKUP(B11,'BMP List'!$A:$E,5,FALSE)</f>
        <v>Unit</v>
      </c>
      <c r="E11" s="28" t="str">
        <f>IF(ISERROR(VLOOKUP($B11,'BMP List'!A:C,3,FALSE)),"",VLOOKUP($B11,'BMP List'!A:C,3,FALSE))</f>
        <v>TP Credit</v>
      </c>
      <c r="F11" s="27" t="str">
        <f>IF(ISERROR(C11*E11),"",IF(B11="Disconnecting Impervious Surface (Square Feet)",IF((1/24*C11)&lt;($C$7),1/24*E11*C11,$C$7*E11),IF(B11="Underground Storage 1.5x (Cubic Feet)",IF(C11/1.5&gt;$C$7,$C$7*E11,C11/1.5*E11),IF(C11&gt;$C$7,$C$7*E11,C11*E11))))</f>
        <v/>
      </c>
      <c r="G11" s="30" t="str">
        <f>IF(ISERROR((VLOOKUP($B11,'BMP List'!$A:$D,4,FALSE))),"",VLOOKUP($B11,'BMP List'!$A:$D,4,FALSE))</f>
        <v>TSS Credit</v>
      </c>
      <c r="H11" s="33" t="str">
        <f>IF(ISERROR(C11*G11),"",IF(B11="Hydrodynamic Separator (Square Feet)",IF((1/24*G11*C11)&lt;($C$7*G11),1/24*G11*C11,$C$7*G11),IF(B11="Disconnecting Impervious Surface (Square Feet)",IF((1/24*G11*C11)&lt;($C$7*G11),1/24*G11*C11,$C$7*G11),IF(B11="Underground Storage 1.5x (Cubic Feet)",IF(C11/1.5&gt;$C$7,$C$7*E11,C11/1.5*E11),IF(C11&gt;$C$7,$C$7*G11,C11*G11)))))</f>
        <v/>
      </c>
    </row>
    <row r="12" spans="1:8" x14ac:dyDescent="0.25">
      <c r="A12" s="8"/>
      <c r="B12" s="8" t="s">
        <v>0</v>
      </c>
      <c r="C12" s="76" t="str">
        <f>IF(B12="Stormwater Reuse (Square Feet)",IF('Stormwater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Calculations'!$E$30))),VLOOKUP(B12,'BMP List'!$A:$F,6,FALSE))</f>
        <v>(Enter BMP Details Here)</v>
      </c>
      <c r="D12" s="29" t="str">
        <f>VLOOKUP(B12,'BMP List'!$A:$E,5,FALSE)</f>
        <v>Unit</v>
      </c>
      <c r="E12" s="28" t="str">
        <f>IF(ISERROR(VLOOKUP($B12,'BMP List'!A:C,3,FALSE)),"",VLOOKUP($B12,'BMP List'!A:C,3,FALSE))</f>
        <v>TP Credit</v>
      </c>
      <c r="F12" s="27" t="str">
        <f t="shared" ref="F12:F20" si="0">IF(ISERROR(C12*E12),"",IF(B12="Disconnecting Impervious Surface (Square Feet)",IF((1/24*C12)&lt;($C$7),1/24*E12*C12,$C$7*E12),IF(B12="Underground Storage 1.5x (Cubic Feet)",IF(C12/1.5&gt;$C$7,$C$7*E12,C12/1.5*E12),IF(C12&gt;$C$7,$C$7*E12,C12*E12))))</f>
        <v/>
      </c>
      <c r="G12" s="30" t="str">
        <f>IF(ISERROR((VLOOKUP($B12,'BMP List'!$A:$D,4,FALSE))),"",VLOOKUP($B12,'BMP List'!$A:$D,4,FALSE))</f>
        <v>TSS Credit</v>
      </c>
      <c r="H12" s="33" t="str">
        <f t="shared" ref="H12:H20" si="1">IF(ISERROR(C12*G12),"",IF(B12="Hydrodynamic Separator (Square Feet)",IF((1/24*G12*C12)&lt;($C$7*G12),1/24*G12*C12,$C$7*G12),IF(B12="Disconnecting Impervious Surface (Square Feet)",IF((1/24*G12*C12)&lt;($C$7*G12),1/24*G12*C12,$C$7*G12),IF(B12="Underground Storage 1.5x (Cubic Feet)",IF(C12/1.5&gt;$C$7,$C$7*E12,C12/1.5*E12),IF(C12&gt;$C$7,$C$7*G12,C12*G12)))))</f>
        <v/>
      </c>
    </row>
    <row r="13" spans="1:8" ht="15" customHeight="1" x14ac:dyDescent="0.25">
      <c r="A13" s="8"/>
      <c r="B13" s="8" t="s">
        <v>0</v>
      </c>
      <c r="C13" s="76" t="str">
        <f>IF(B13="Stormwater Reuse (Square Feet)",IF('Stormwater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Calculations'!$E$30))),VLOOKUP(B13,'BMP List'!$A:$F,6,FALSE))</f>
        <v>(Enter BMP Details Here)</v>
      </c>
      <c r="D13" s="29" t="str">
        <f>VLOOKUP(B13,'BMP List'!$A:$E,5,FALSE)</f>
        <v>Unit</v>
      </c>
      <c r="E13" s="28" t="str">
        <f>IF(ISERROR(VLOOKUP($B13,'BMP List'!A:C,3,FALSE)),"",VLOOKUP($B13,'BMP List'!A:C,3,FALSE))</f>
        <v>TP Credit</v>
      </c>
      <c r="F13" s="27" t="str">
        <f t="shared" si="0"/>
        <v/>
      </c>
      <c r="G13" s="30" t="str">
        <f>IF(ISERROR((VLOOKUP($B13,'BMP List'!$A:$D,4,FALSE))),"",VLOOKUP($B13,'BMP List'!$A:$D,4,FALSE))</f>
        <v>TSS Credit</v>
      </c>
      <c r="H13" s="33" t="str">
        <f t="shared" si="1"/>
        <v/>
      </c>
    </row>
    <row r="14" spans="1:8" x14ac:dyDescent="0.25">
      <c r="A14" s="8"/>
      <c r="B14" s="8" t="s">
        <v>0</v>
      </c>
      <c r="C14" s="76" t="str">
        <f>IF(B14="Stormwater Reuse (Square Feet)",IF('Stormwater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Calculations'!$E$30))),VLOOKUP(B14,'BMP List'!$A:$F,6,FALSE))</f>
        <v>(Enter BMP Details Here)</v>
      </c>
      <c r="D14" s="29" t="str">
        <f>VLOOKUP(B14,'BMP List'!$A:$E,5,FALSE)</f>
        <v>Unit</v>
      </c>
      <c r="E14" s="28" t="str">
        <f>IF(ISERROR(VLOOKUP($B14,'BMP List'!A:C,3,FALSE)),"",VLOOKUP($B14,'BMP List'!A:C,3,FALSE))</f>
        <v>TP Credit</v>
      </c>
      <c r="F14" s="27" t="str">
        <f t="shared" si="0"/>
        <v/>
      </c>
      <c r="G14" s="30" t="str">
        <f>IF(ISERROR((VLOOKUP($B14,'BMP List'!$A:$D,4,FALSE))),"",VLOOKUP($B14,'BMP List'!$A:$D,4,FALSE))</f>
        <v>TSS Credit</v>
      </c>
      <c r="H14" s="33" t="str">
        <f t="shared" si="1"/>
        <v/>
      </c>
    </row>
    <row r="15" spans="1:8" x14ac:dyDescent="0.25">
      <c r="A15" s="8"/>
      <c r="B15" s="8" t="s">
        <v>0</v>
      </c>
      <c r="C15" s="76" t="str">
        <f>IF(B15="Stormwater Reuse (Square Feet)",IF('Stormwater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Calculations'!$E$30))),VLOOKUP(B15,'BMP List'!$A:$F,6,FALSE))</f>
        <v>(Enter BMP Details Here)</v>
      </c>
      <c r="D15" s="29" t="str">
        <f>VLOOKUP(B15,'BMP List'!$A:$E,5,FALSE)</f>
        <v>Unit</v>
      </c>
      <c r="E15" s="28" t="str">
        <f>IF(ISERROR(VLOOKUP($B15,'BMP List'!A:C,3,FALSE)),"",VLOOKUP($B15,'BMP List'!A:C,3,FALSE))</f>
        <v>TP Credit</v>
      </c>
      <c r="F15" s="27" t="str">
        <f t="shared" si="0"/>
        <v/>
      </c>
      <c r="G15" s="30" t="str">
        <f>IF(ISERROR((VLOOKUP($B15,'BMP List'!$A:$D,4,FALSE))),"",VLOOKUP($B15,'BMP List'!$A:$D,4,FALSE))</f>
        <v>TSS Credit</v>
      </c>
      <c r="H15" s="33" t="str">
        <f t="shared" si="1"/>
        <v/>
      </c>
    </row>
    <row r="16" spans="1:8" x14ac:dyDescent="0.25">
      <c r="A16" s="8"/>
      <c r="B16" s="8" t="s">
        <v>0</v>
      </c>
      <c r="C16" s="76" t="str">
        <f>IF(B16="Stormwater Reuse (Square Feet)",IF('Stormwater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Calculations'!$E$30))),VLOOKUP(B16,'BMP List'!$A:$F,6,FALSE))</f>
        <v>(Enter BMP Details Here)</v>
      </c>
      <c r="D16" s="29" t="str">
        <f>VLOOKUP(B16,'BMP List'!$A:$E,5,FALSE)</f>
        <v>Unit</v>
      </c>
      <c r="E16" s="28" t="str">
        <f>IF(ISERROR(VLOOKUP($B16,'BMP List'!A:C,3,FALSE)),"",VLOOKUP($B16,'BMP List'!A:C,3,FALSE))</f>
        <v>TP Credit</v>
      </c>
      <c r="F16" s="27" t="str">
        <f t="shared" si="0"/>
        <v/>
      </c>
      <c r="G16" s="30" t="str">
        <f>IF(ISERROR((VLOOKUP($B16,'BMP List'!$A:$D,4,FALSE))),"",VLOOKUP($B16,'BMP List'!$A:$D,4,FALSE))</f>
        <v>TSS Credit</v>
      </c>
      <c r="H16" s="33" t="str">
        <f t="shared" si="1"/>
        <v/>
      </c>
    </row>
    <row r="17" spans="1:8" x14ac:dyDescent="0.25">
      <c r="A17" s="8"/>
      <c r="B17" s="8" t="s">
        <v>0</v>
      </c>
      <c r="C17" s="76" t="str">
        <f>IF(B17="Stormwater Reuse (Square Feet)",IF('Stormwater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Calculations'!$E$30))),VLOOKUP(B17,'BMP List'!$A:$F,6,FALSE))</f>
        <v>(Enter BMP Details Here)</v>
      </c>
      <c r="D17" s="29" t="str">
        <f>VLOOKUP(B17,'BMP List'!$A:$E,5,FALSE)</f>
        <v>Unit</v>
      </c>
      <c r="E17" s="28" t="str">
        <f>IF(ISERROR(VLOOKUP($B17,'BMP List'!A:C,3,FALSE)),"",VLOOKUP($B17,'BMP List'!A:C,3,FALSE))</f>
        <v>TP Credit</v>
      </c>
      <c r="F17" s="27" t="str">
        <f t="shared" si="0"/>
        <v/>
      </c>
      <c r="G17" s="30" t="str">
        <f>IF(ISERROR((VLOOKUP($B17,'BMP List'!$A:$D,4,FALSE))),"",VLOOKUP($B17,'BMP List'!$A:$D,4,FALSE))</f>
        <v>TSS Credit</v>
      </c>
      <c r="H17" s="33" t="str">
        <f t="shared" si="1"/>
        <v/>
      </c>
    </row>
    <row r="18" spans="1:8" x14ac:dyDescent="0.25">
      <c r="A18" s="8"/>
      <c r="B18" s="8" t="s">
        <v>0</v>
      </c>
      <c r="C18" s="76" t="str">
        <f>IF(B18="Stormwater Reuse (Square Feet)",IF('Stormwater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Calculations'!$E$30))),VLOOKUP(B18,'BMP List'!$A:$F,6,FALSE))</f>
        <v>(Enter BMP Details Here)</v>
      </c>
      <c r="D18" s="29" t="str">
        <f>VLOOKUP(B18,'BMP List'!$A:$E,5,FALSE)</f>
        <v>Unit</v>
      </c>
      <c r="E18" s="28" t="str">
        <f>IF(ISERROR(VLOOKUP($B18,'BMP List'!A:C,3,FALSE)),"",VLOOKUP($B18,'BMP List'!A:C,3,FALSE))</f>
        <v>TP Credit</v>
      </c>
      <c r="F18" s="27" t="str">
        <f t="shared" si="0"/>
        <v/>
      </c>
      <c r="G18" s="30" t="str">
        <f>IF(ISERROR((VLOOKUP($B18,'BMP List'!$A:$D,4,FALSE))),"",VLOOKUP($B18,'BMP List'!$A:$D,4,FALSE))</f>
        <v>TSS Credit</v>
      </c>
      <c r="H18" s="33" t="str">
        <f t="shared" si="1"/>
        <v/>
      </c>
    </row>
    <row r="19" spans="1:8" ht="15" customHeight="1" x14ac:dyDescent="0.25">
      <c r="A19" s="8"/>
      <c r="B19" s="8" t="s">
        <v>0</v>
      </c>
      <c r="C19" s="76" t="str">
        <f>IF(B19="Stormwater Reuse (Square Feet)",IF('Stormwater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Calculations'!$E$30))),VLOOKUP(B19,'BMP List'!$A:$F,6,FALSE))</f>
        <v>(Enter BMP Details Here)</v>
      </c>
      <c r="D19" s="29" t="str">
        <f>VLOOKUP(B19,'BMP List'!$A:$E,5,FALSE)</f>
        <v>Unit</v>
      </c>
      <c r="E19" s="28" t="str">
        <f>IF(ISERROR(VLOOKUP($B19,'BMP List'!A:C,3,FALSE)),"",VLOOKUP($B19,'BMP List'!A:C,3,FALSE))</f>
        <v>TP Credit</v>
      </c>
      <c r="F19" s="27" t="str">
        <f t="shared" si="0"/>
        <v/>
      </c>
      <c r="G19" s="30" t="str">
        <f>IF(ISERROR((VLOOKUP($B19,'BMP List'!$A:$D,4,FALSE))),"",VLOOKUP($B19,'BMP List'!$A:$D,4,FALSE))</f>
        <v>TSS Credit</v>
      </c>
      <c r="H19" s="33" t="str">
        <f t="shared" si="1"/>
        <v/>
      </c>
    </row>
    <row r="20" spans="1:8" ht="15.75" thickBot="1" x14ac:dyDescent="0.3">
      <c r="A20" s="10"/>
      <c r="B20" s="10" t="s">
        <v>0</v>
      </c>
      <c r="C20" s="77" t="str">
        <f>IF(B20="Stormwater Reuse (Square Feet)",IF('Stormwater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Calculations'!$E$30))),VLOOKUP(B20,'BMP List'!$A:$F,6,FALSE))</f>
        <v>(Enter BMP Details Here)</v>
      </c>
      <c r="D20" s="34" t="str">
        <f>VLOOKUP(B20,'BMP List'!$A:$E,5,FALSE)</f>
        <v>Unit</v>
      </c>
      <c r="E20" s="35" t="str">
        <f>IF(ISERROR(VLOOKUP($B20,'BMP List'!A:C,3,FALSE)),"",VLOOKUP($B20,'BMP List'!A:C,3,FALSE))</f>
        <v>TP Credit</v>
      </c>
      <c r="F20" s="83" t="str">
        <f t="shared" si="0"/>
        <v/>
      </c>
      <c r="G20" s="44" t="str">
        <f>IF(ISERROR((VLOOKUP($B20,'BMP List'!$A:$D,4,FALSE))),"",VLOOKUP($B20,'BMP List'!$A:$D,4,FALSE))</f>
        <v>TSS Credit</v>
      </c>
      <c r="H20" s="36" t="str">
        <f t="shared" si="1"/>
        <v/>
      </c>
    </row>
    <row r="21" spans="1:8" ht="15.75" thickBot="1" x14ac:dyDescent="0.3">
      <c r="B21" s="63"/>
      <c r="C21" s="63"/>
      <c r="D21" s="31" t="s">
        <v>17</v>
      </c>
      <c r="F21" s="26">
        <f>SUM(F11:F20)</f>
        <v>0</v>
      </c>
      <c r="H21" s="26">
        <f>SUM(H11:H20)</f>
        <v>0</v>
      </c>
    </row>
    <row r="22" spans="1:8" ht="16.5" customHeight="1" thickTop="1" thickBot="1" x14ac:dyDescent="0.3">
      <c r="D22" s="12" t="s">
        <v>18</v>
      </c>
      <c r="F22" s="20" t="e">
        <f>IF((F21/($C$7*0.9))&gt;1,"&gt;100%",F21/($C$7*0.9))</f>
        <v>#DIV/0!</v>
      </c>
      <c r="H22" s="20" t="e">
        <f>IF((H21/($C$7*0.9))&gt;1,"&gt;100%",H21/($C$7*0.9))</f>
        <v>#DIV/0!</v>
      </c>
    </row>
    <row r="23" spans="1:8" ht="16.5" thickTop="1" thickBot="1" x14ac:dyDescent="0.3">
      <c r="D23" s="12" t="s">
        <v>24</v>
      </c>
      <c r="F23" s="12" t="e">
        <f>IF(F22&gt;=100%,"YES","NO")</f>
        <v>#DIV/0!</v>
      </c>
      <c r="H23" s="12" t="e">
        <f>IF(H22&gt;=100%,"YES","NO")</f>
        <v>#DIV/0!</v>
      </c>
    </row>
    <row r="24" spans="1:8" ht="15.75" thickTop="1" x14ac:dyDescent="0.25">
      <c r="D24" s="79"/>
      <c r="E24" s="70"/>
      <c r="F24" s="80"/>
      <c r="G24" s="70"/>
      <c r="H24" s="80"/>
    </row>
    <row r="25" spans="1:8" x14ac:dyDescent="0.25">
      <c r="F25" s="56"/>
    </row>
    <row r="32" spans="1:8" ht="23.25" x14ac:dyDescent="0.25">
      <c r="B32" s="45" t="s">
        <v>19</v>
      </c>
    </row>
    <row r="34" spans="2:8" ht="23.25" x14ac:dyDescent="0.25">
      <c r="B34" s="72" t="s">
        <v>20</v>
      </c>
    </row>
    <row r="35" spans="2:8" ht="15.75" thickBot="1" x14ac:dyDescent="0.3"/>
    <row r="36" spans="2:8" ht="24.75" thickTop="1" thickBot="1" x14ac:dyDescent="0.3">
      <c r="B36" s="73" t="s">
        <v>21</v>
      </c>
    </row>
    <row r="37" spans="2:8" ht="15.75" thickTop="1" x14ac:dyDescent="0.25"/>
    <row r="46" spans="2:8" ht="16.5" hidden="1" thickTop="1" thickBot="1" x14ac:dyDescent="0.3">
      <c r="D46" s="13" t="s">
        <v>51</v>
      </c>
      <c r="F46" s="78">
        <f>(IF(F11="",0,E11*$C$11)+IF(F12="",0,E12*$C$12)+IF(F13="",0,E13*$C$13)+IF(F14="",0,E14*$C$14)+IF(F15="",0,E15*$C$15)+IF(F16="",0,E16*$C$16)+IF(F17="",0,E17*$C$17)+IF(F18="",0,E18*$C$18)+IF(F19="",0,E19*$C$19)+IF(F20="",0,E20*$C$20))-($C$7*0.9)</f>
        <v>0</v>
      </c>
      <c r="H46" s="78">
        <f>(IF(H11="",0,G11*$C$11)+IF(H12="",0,G12*$C$12)+IF(H13="",0,G13*$C$13)+IF(H14="",0,G14*$C$14)+IF(H15="",0,G15*$C$15)+IF(H16="",0,G16*$C$16)+IF(H17="",0,G17*$C$17)+IF(H18="",0,G18*$C$18)+IF(H19="",0,G19*$C$19)+IF(H20="",0,G20*$C$20))-($C$7*0.9)</f>
        <v>0</v>
      </c>
    </row>
  </sheetData>
  <conditionalFormatting sqref="F46 H46">
    <cfRule type="cellIs" dxfId="35" priority="3" operator="lessThan">
      <formula>0</formula>
    </cfRule>
    <cfRule type="cellIs" dxfId="34" priority="4" operator="greaterThan">
      <formula>0</formula>
    </cfRule>
  </conditionalFormatting>
  <conditionalFormatting sqref="F24 H24">
    <cfRule type="cellIs" dxfId="33" priority="5" operator="lessThan">
      <formula>0</formula>
    </cfRule>
    <cfRule type="cellIs" dxfId="32" priority="6" operator="greaterThan">
      <formula>0</formula>
    </cfRule>
  </conditionalFormatting>
  <conditionalFormatting sqref="F23 H23">
    <cfRule type="containsText" dxfId="31" priority="1" operator="containsText" text="yes">
      <formula>NOT(ISERROR(SEARCH("yes",F23)))</formula>
    </cfRule>
    <cfRule type="containsText" dxfId="30" priority="2" operator="containsText" text="No">
      <formula>NOT(ISERROR(SEARCH("No",F23)))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CA59CC9-FC1E-4A78-A8A3-268F5EAC3058}">
          <x14:formula1>
            <xm:f>'BMP List'!$A$1:$A$22</xm:f>
          </x14:formula1>
          <xm:sqref>B11:B20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8A18C-4D9D-49F8-A9B6-EDE34CD61F9E}">
  <sheetPr>
    <tabColor theme="8" tint="-0.249977111117893"/>
  </sheetPr>
  <dimension ref="A1:H46"/>
  <sheetViews>
    <sheetView zoomScale="80" zoomScaleNormal="80" workbookViewId="0">
      <selection activeCell="B43" sqref="B43"/>
    </sheetView>
  </sheetViews>
  <sheetFormatPr defaultColWidth="9.140625" defaultRowHeight="15" x14ac:dyDescent="0.25"/>
  <cols>
    <col min="1" max="1" width="11.7109375" style="47" customWidth="1"/>
    <col min="2" max="2" width="50.85546875" style="47" bestFit="1" customWidth="1"/>
    <col min="3" max="3" width="32.85546875" style="47" bestFit="1" customWidth="1"/>
    <col min="4" max="4" width="39.5703125" style="47" customWidth="1"/>
    <col min="5" max="5" width="13.85546875" style="47" bestFit="1" customWidth="1"/>
    <col min="6" max="6" width="24.28515625" style="47" customWidth="1"/>
    <col min="7" max="7" width="15.140625" style="47" bestFit="1" customWidth="1"/>
    <col min="8" max="8" width="24.28515625" style="47" customWidth="1"/>
    <col min="9" max="16384" width="9.140625" style="47"/>
  </cols>
  <sheetData>
    <row r="1" spans="1:8" x14ac:dyDescent="0.25">
      <c r="B1" s="48" t="s">
        <v>30</v>
      </c>
      <c r="C1" s="24"/>
    </row>
    <row r="3" spans="1:8" x14ac:dyDescent="0.25">
      <c r="B3" s="48" t="s">
        <v>27</v>
      </c>
      <c r="C3" s="24">
        <v>0</v>
      </c>
    </row>
    <row r="4" spans="1:8" s="51" customFormat="1" ht="4.5" customHeight="1" x14ac:dyDescent="0.25">
      <c r="B4" s="49"/>
      <c r="C4" s="50"/>
    </row>
    <row r="5" spans="1:8" x14ac:dyDescent="0.25">
      <c r="B5" s="48" t="s">
        <v>11</v>
      </c>
      <c r="C5" s="25">
        <f>C3*43560</f>
        <v>0</v>
      </c>
      <c r="F5" s="75"/>
    </row>
    <row r="6" spans="1:8" ht="5.0999999999999996" customHeight="1" thickBot="1" x14ac:dyDescent="0.3">
      <c r="C6" s="52"/>
    </row>
    <row r="7" spans="1:8" ht="15.75" thickBot="1" x14ac:dyDescent="0.3">
      <c r="B7" s="53" t="s">
        <v>13</v>
      </c>
      <c r="C7" s="5">
        <f>C5/24</f>
        <v>0</v>
      </c>
    </row>
    <row r="9" spans="1:8" ht="15.75" thickBot="1" x14ac:dyDescent="0.3"/>
    <row r="10" spans="1:8" ht="30" x14ac:dyDescent="0.25">
      <c r="A10" s="32" t="s">
        <v>47</v>
      </c>
      <c r="B10" s="32" t="s">
        <v>14</v>
      </c>
      <c r="C10" s="18" t="s">
        <v>15</v>
      </c>
      <c r="D10" s="18" t="s">
        <v>16</v>
      </c>
      <c r="E10" s="18" t="s">
        <v>28</v>
      </c>
      <c r="F10" s="18" t="s">
        <v>25</v>
      </c>
      <c r="G10" s="19" t="s">
        <v>29</v>
      </c>
      <c r="H10" s="19" t="s">
        <v>26</v>
      </c>
    </row>
    <row r="11" spans="1:8" ht="15" customHeight="1" x14ac:dyDescent="0.25">
      <c r="A11" s="8"/>
      <c r="B11" s="8" t="s">
        <v>0</v>
      </c>
      <c r="C11" s="76" t="str">
        <f>IF(B11="Stormwater Reuse (Square Feet)",IF('Stormwater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Calculations'!$E$30))),VLOOKUP(B11,'BMP List'!$A:$F,6,FALSE))</f>
        <v>(Enter BMP Details Here)</v>
      </c>
      <c r="D11" s="29" t="str">
        <f>VLOOKUP(B11,'BMP List'!$A:$E,5,FALSE)</f>
        <v>Unit</v>
      </c>
      <c r="E11" s="28" t="str">
        <f>IF(ISERROR(VLOOKUP($B11,'BMP List'!A:C,3,FALSE)),"",VLOOKUP($B11,'BMP List'!A:C,3,FALSE))</f>
        <v>TP Credit</v>
      </c>
      <c r="F11" s="27" t="str">
        <f>IF(ISERROR(C11*E11),"",IF(B11="Disconnecting Impervious Surface (Square Feet)",IF((1/24*C11)&lt;($C$7),1/24*E11*C11,$C$7*E11),IF(B11="Underground Storage 1.5x (Cubic Feet)",IF(C11/1.5&gt;$C$7,$C$7*E11,C11/1.5*E11),IF(C11&gt;$C$7,$C$7*E11,C11*E11))))</f>
        <v/>
      </c>
      <c r="G11" s="30" t="str">
        <f>IF(ISERROR((VLOOKUP($B11,'BMP List'!$A:$D,4,FALSE))),"",VLOOKUP($B11,'BMP List'!$A:$D,4,FALSE))</f>
        <v>TSS Credit</v>
      </c>
      <c r="H11" s="33" t="str">
        <f>IF(ISERROR(C11*G11),"",IF(B11="Hydrodynamic Separator (Square Feet)",IF((1/24*G11*C11)&lt;($C$7*G11),1/24*G11*C11,$C$7*G11),IF(B11="Disconnecting Impervious Surface (Square Feet)",IF((1/24*G11*C11)&lt;($C$7*G11),1/24*G11*C11,$C$7*G11),IF(B11="Underground Storage 1.5x (Cubic Feet)",IF(C11/1.5&gt;$C$7,$C$7*E11,C11/1.5*E11),IF(C11&gt;$C$7,$C$7*G11,C11*G11)))))</f>
        <v/>
      </c>
    </row>
    <row r="12" spans="1:8" x14ac:dyDescent="0.25">
      <c r="A12" s="8"/>
      <c r="B12" s="8" t="s">
        <v>0</v>
      </c>
      <c r="C12" s="76" t="str">
        <f>IF(B12="Stormwater Reuse (Square Feet)",IF('Stormwater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Calculations'!$E$30))),VLOOKUP(B12,'BMP List'!$A:$F,6,FALSE))</f>
        <v>(Enter BMP Details Here)</v>
      </c>
      <c r="D12" s="29" t="str">
        <f>VLOOKUP(B12,'BMP List'!$A:$E,5,FALSE)</f>
        <v>Unit</v>
      </c>
      <c r="E12" s="28" t="str">
        <f>IF(ISERROR(VLOOKUP($B12,'BMP List'!A:C,3,FALSE)),"",VLOOKUP($B12,'BMP List'!A:C,3,FALSE))</f>
        <v>TP Credit</v>
      </c>
      <c r="F12" s="27" t="str">
        <f t="shared" ref="F12:F20" si="0">IF(ISERROR(C12*E12),"",IF(B12="Disconnecting Impervious Surface (Square Feet)",IF((1/24*C12)&lt;($C$7),1/24*E12*C12,$C$7*E12),IF(B12="Underground Storage 1.5x (Cubic Feet)",IF(C12/1.5&gt;$C$7,$C$7*E12,C12/1.5*E12),IF(C12&gt;$C$7,$C$7*E12,C12*E12))))</f>
        <v/>
      </c>
      <c r="G12" s="30" t="str">
        <f>IF(ISERROR((VLOOKUP($B12,'BMP List'!$A:$D,4,FALSE))),"",VLOOKUP($B12,'BMP List'!$A:$D,4,FALSE))</f>
        <v>TSS Credit</v>
      </c>
      <c r="H12" s="33" t="str">
        <f t="shared" ref="H12:H20" si="1">IF(ISERROR(C12*G12),"",IF(B12="Hydrodynamic Separator (Square Feet)",IF((1/24*G12*C12)&lt;($C$7*G12),1/24*G12*C12,$C$7*G12),IF(B12="Disconnecting Impervious Surface (Square Feet)",IF((1/24*G12*C12)&lt;($C$7*G12),1/24*G12*C12,$C$7*G12),IF(B12="Underground Storage 1.5x (Cubic Feet)",IF(C12/1.5&gt;$C$7,$C$7*E12,C12/1.5*E12),IF(C12&gt;$C$7,$C$7*G12,C12*G12)))))</f>
        <v/>
      </c>
    </row>
    <row r="13" spans="1:8" ht="15" customHeight="1" x14ac:dyDescent="0.25">
      <c r="A13" s="8"/>
      <c r="B13" s="8" t="s">
        <v>0</v>
      </c>
      <c r="C13" s="76" t="str">
        <f>IF(B13="Stormwater Reuse (Square Feet)",IF('Stormwater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Calculations'!$E$30))),VLOOKUP(B13,'BMP List'!$A:$F,6,FALSE))</f>
        <v>(Enter BMP Details Here)</v>
      </c>
      <c r="D13" s="29" t="str">
        <f>VLOOKUP(B13,'BMP List'!$A:$E,5,FALSE)</f>
        <v>Unit</v>
      </c>
      <c r="E13" s="28" t="str">
        <f>IF(ISERROR(VLOOKUP($B13,'BMP List'!A:C,3,FALSE)),"",VLOOKUP($B13,'BMP List'!A:C,3,FALSE))</f>
        <v>TP Credit</v>
      </c>
      <c r="F13" s="27" t="str">
        <f t="shared" si="0"/>
        <v/>
      </c>
      <c r="G13" s="30" t="str">
        <f>IF(ISERROR((VLOOKUP($B13,'BMP List'!$A:$D,4,FALSE))),"",VLOOKUP($B13,'BMP List'!$A:$D,4,FALSE))</f>
        <v>TSS Credit</v>
      </c>
      <c r="H13" s="33" t="str">
        <f t="shared" si="1"/>
        <v/>
      </c>
    </row>
    <row r="14" spans="1:8" x14ac:dyDescent="0.25">
      <c r="A14" s="8"/>
      <c r="B14" s="8" t="s">
        <v>0</v>
      </c>
      <c r="C14" s="76" t="str">
        <f>IF(B14="Stormwater Reuse (Square Feet)",IF('Stormwater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Calculations'!$E$30))),VLOOKUP(B14,'BMP List'!$A:$F,6,FALSE))</f>
        <v>(Enter BMP Details Here)</v>
      </c>
      <c r="D14" s="29" t="str">
        <f>VLOOKUP(B14,'BMP List'!$A:$E,5,FALSE)</f>
        <v>Unit</v>
      </c>
      <c r="E14" s="28" t="str">
        <f>IF(ISERROR(VLOOKUP($B14,'BMP List'!A:C,3,FALSE)),"",VLOOKUP($B14,'BMP List'!A:C,3,FALSE))</f>
        <v>TP Credit</v>
      </c>
      <c r="F14" s="27" t="str">
        <f t="shared" si="0"/>
        <v/>
      </c>
      <c r="G14" s="30" t="str">
        <f>IF(ISERROR((VLOOKUP($B14,'BMP List'!$A:$D,4,FALSE))),"",VLOOKUP($B14,'BMP List'!$A:$D,4,FALSE))</f>
        <v>TSS Credit</v>
      </c>
      <c r="H14" s="33" t="str">
        <f t="shared" si="1"/>
        <v/>
      </c>
    </row>
    <row r="15" spans="1:8" x14ac:dyDescent="0.25">
      <c r="A15" s="8"/>
      <c r="B15" s="8" t="s">
        <v>0</v>
      </c>
      <c r="C15" s="76" t="str">
        <f>IF(B15="Stormwater Reuse (Square Feet)",IF('Stormwater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Calculations'!$E$30))),VLOOKUP(B15,'BMP List'!$A:$F,6,FALSE))</f>
        <v>(Enter BMP Details Here)</v>
      </c>
      <c r="D15" s="29" t="str">
        <f>VLOOKUP(B15,'BMP List'!$A:$E,5,FALSE)</f>
        <v>Unit</v>
      </c>
      <c r="E15" s="28" t="str">
        <f>IF(ISERROR(VLOOKUP($B15,'BMP List'!A:C,3,FALSE)),"",VLOOKUP($B15,'BMP List'!A:C,3,FALSE))</f>
        <v>TP Credit</v>
      </c>
      <c r="F15" s="27" t="str">
        <f t="shared" si="0"/>
        <v/>
      </c>
      <c r="G15" s="30" t="str">
        <f>IF(ISERROR((VLOOKUP($B15,'BMP List'!$A:$D,4,FALSE))),"",VLOOKUP($B15,'BMP List'!$A:$D,4,FALSE))</f>
        <v>TSS Credit</v>
      </c>
      <c r="H15" s="33" t="str">
        <f t="shared" si="1"/>
        <v/>
      </c>
    </row>
    <row r="16" spans="1:8" x14ac:dyDescent="0.25">
      <c r="A16" s="8"/>
      <c r="B16" s="8" t="s">
        <v>0</v>
      </c>
      <c r="C16" s="76" t="str">
        <f>IF(B16="Stormwater Reuse (Square Feet)",IF('Stormwater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Calculations'!$E$30))),VLOOKUP(B16,'BMP List'!$A:$F,6,FALSE))</f>
        <v>(Enter BMP Details Here)</v>
      </c>
      <c r="D16" s="29" t="str">
        <f>VLOOKUP(B16,'BMP List'!$A:$E,5,FALSE)</f>
        <v>Unit</v>
      </c>
      <c r="E16" s="28" t="str">
        <f>IF(ISERROR(VLOOKUP($B16,'BMP List'!A:C,3,FALSE)),"",VLOOKUP($B16,'BMP List'!A:C,3,FALSE))</f>
        <v>TP Credit</v>
      </c>
      <c r="F16" s="27" t="str">
        <f t="shared" si="0"/>
        <v/>
      </c>
      <c r="G16" s="30" t="str">
        <f>IF(ISERROR((VLOOKUP($B16,'BMP List'!$A:$D,4,FALSE))),"",VLOOKUP($B16,'BMP List'!$A:$D,4,FALSE))</f>
        <v>TSS Credit</v>
      </c>
      <c r="H16" s="33" t="str">
        <f t="shared" si="1"/>
        <v/>
      </c>
    </row>
    <row r="17" spans="1:8" x14ac:dyDescent="0.25">
      <c r="A17" s="8"/>
      <c r="B17" s="8" t="s">
        <v>0</v>
      </c>
      <c r="C17" s="76" t="str">
        <f>IF(B17="Stormwater Reuse (Square Feet)",IF('Stormwater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Calculations'!$E$30))),VLOOKUP(B17,'BMP List'!$A:$F,6,FALSE))</f>
        <v>(Enter BMP Details Here)</v>
      </c>
      <c r="D17" s="29" t="str">
        <f>VLOOKUP(B17,'BMP List'!$A:$E,5,FALSE)</f>
        <v>Unit</v>
      </c>
      <c r="E17" s="28" t="str">
        <f>IF(ISERROR(VLOOKUP($B17,'BMP List'!A:C,3,FALSE)),"",VLOOKUP($B17,'BMP List'!A:C,3,FALSE))</f>
        <v>TP Credit</v>
      </c>
      <c r="F17" s="27" t="str">
        <f t="shared" si="0"/>
        <v/>
      </c>
      <c r="G17" s="30" t="str">
        <f>IF(ISERROR((VLOOKUP($B17,'BMP List'!$A:$D,4,FALSE))),"",VLOOKUP($B17,'BMP List'!$A:$D,4,FALSE))</f>
        <v>TSS Credit</v>
      </c>
      <c r="H17" s="33" t="str">
        <f t="shared" si="1"/>
        <v/>
      </c>
    </row>
    <row r="18" spans="1:8" x14ac:dyDescent="0.25">
      <c r="A18" s="8"/>
      <c r="B18" s="8" t="s">
        <v>0</v>
      </c>
      <c r="C18" s="76" t="str">
        <f>IF(B18="Stormwater Reuse (Square Feet)",IF('Stormwater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Calculations'!$E$30))),VLOOKUP(B18,'BMP List'!$A:$F,6,FALSE))</f>
        <v>(Enter BMP Details Here)</v>
      </c>
      <c r="D18" s="29" t="str">
        <f>VLOOKUP(B18,'BMP List'!$A:$E,5,FALSE)</f>
        <v>Unit</v>
      </c>
      <c r="E18" s="28" t="str">
        <f>IF(ISERROR(VLOOKUP($B18,'BMP List'!A:C,3,FALSE)),"",VLOOKUP($B18,'BMP List'!A:C,3,FALSE))</f>
        <v>TP Credit</v>
      </c>
      <c r="F18" s="27" t="str">
        <f t="shared" si="0"/>
        <v/>
      </c>
      <c r="G18" s="30" t="str">
        <f>IF(ISERROR((VLOOKUP($B18,'BMP List'!$A:$D,4,FALSE))),"",VLOOKUP($B18,'BMP List'!$A:$D,4,FALSE))</f>
        <v>TSS Credit</v>
      </c>
      <c r="H18" s="33" t="str">
        <f t="shared" si="1"/>
        <v/>
      </c>
    </row>
    <row r="19" spans="1:8" ht="15" customHeight="1" x14ac:dyDescent="0.25">
      <c r="A19" s="8"/>
      <c r="B19" s="8" t="s">
        <v>0</v>
      </c>
      <c r="C19" s="76" t="str">
        <f>IF(B19="Stormwater Reuse (Square Feet)",IF('Stormwater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Calculations'!$E$30))),VLOOKUP(B19,'BMP List'!$A:$F,6,FALSE))</f>
        <v>(Enter BMP Details Here)</v>
      </c>
      <c r="D19" s="29" t="str">
        <f>VLOOKUP(B19,'BMP List'!$A:$E,5,FALSE)</f>
        <v>Unit</v>
      </c>
      <c r="E19" s="28" t="str">
        <f>IF(ISERROR(VLOOKUP($B19,'BMP List'!A:C,3,FALSE)),"",VLOOKUP($B19,'BMP List'!A:C,3,FALSE))</f>
        <v>TP Credit</v>
      </c>
      <c r="F19" s="27" t="str">
        <f t="shared" si="0"/>
        <v/>
      </c>
      <c r="G19" s="30" t="str">
        <f>IF(ISERROR((VLOOKUP($B19,'BMP List'!$A:$D,4,FALSE))),"",VLOOKUP($B19,'BMP List'!$A:$D,4,FALSE))</f>
        <v>TSS Credit</v>
      </c>
      <c r="H19" s="33" t="str">
        <f t="shared" si="1"/>
        <v/>
      </c>
    </row>
    <row r="20" spans="1:8" ht="15.75" thickBot="1" x14ac:dyDescent="0.3">
      <c r="A20" s="10"/>
      <c r="B20" s="10" t="s">
        <v>0</v>
      </c>
      <c r="C20" s="77" t="str">
        <f>IF(B20="Stormwater Reuse (Square Feet)",IF('Stormwater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Calculations'!$E$30))),VLOOKUP(B20,'BMP List'!$A:$F,6,FALSE))</f>
        <v>(Enter BMP Details Here)</v>
      </c>
      <c r="D20" s="34" t="str">
        <f>VLOOKUP(B20,'BMP List'!$A:$E,5,FALSE)</f>
        <v>Unit</v>
      </c>
      <c r="E20" s="35" t="str">
        <f>IF(ISERROR(VLOOKUP($B20,'BMP List'!A:C,3,FALSE)),"",VLOOKUP($B20,'BMP List'!A:C,3,FALSE))</f>
        <v>TP Credit</v>
      </c>
      <c r="F20" s="83" t="str">
        <f t="shared" si="0"/>
        <v/>
      </c>
      <c r="G20" s="44" t="str">
        <f>IF(ISERROR((VLOOKUP($B20,'BMP List'!$A:$D,4,FALSE))),"",VLOOKUP($B20,'BMP List'!$A:$D,4,FALSE))</f>
        <v>TSS Credit</v>
      </c>
      <c r="H20" s="36" t="str">
        <f t="shared" si="1"/>
        <v/>
      </c>
    </row>
    <row r="21" spans="1:8" ht="15.75" thickBot="1" x14ac:dyDescent="0.3">
      <c r="B21" s="63"/>
      <c r="C21" s="63"/>
      <c r="D21" s="31" t="s">
        <v>17</v>
      </c>
      <c r="F21" s="26">
        <f>SUM(F11:F20)</f>
        <v>0</v>
      </c>
      <c r="H21" s="26">
        <f>SUM(H11:H20)</f>
        <v>0</v>
      </c>
    </row>
    <row r="22" spans="1:8" ht="16.5" customHeight="1" thickTop="1" thickBot="1" x14ac:dyDescent="0.3">
      <c r="D22" s="12" t="s">
        <v>18</v>
      </c>
      <c r="F22" s="20" t="e">
        <f>IF((F21/($C$7*0.9))&gt;1,"&gt;100%",F21/($C$7*0.9))</f>
        <v>#DIV/0!</v>
      </c>
      <c r="H22" s="20" t="e">
        <f>IF((H21/($C$7*0.9))&gt;1,"&gt;100%",H21/($C$7*0.9))</f>
        <v>#DIV/0!</v>
      </c>
    </row>
    <row r="23" spans="1:8" ht="16.5" thickTop="1" thickBot="1" x14ac:dyDescent="0.3">
      <c r="D23" s="12" t="s">
        <v>24</v>
      </c>
      <c r="F23" s="12" t="e">
        <f>IF(F22&gt;=100%,"YES","NO")</f>
        <v>#DIV/0!</v>
      </c>
      <c r="H23" s="12" t="e">
        <f>IF(H22&gt;=100%,"YES","NO")</f>
        <v>#DIV/0!</v>
      </c>
    </row>
    <row r="24" spans="1:8" ht="15.75" thickTop="1" x14ac:dyDescent="0.25">
      <c r="D24" s="79"/>
      <c r="E24" s="70"/>
      <c r="F24" s="80"/>
      <c r="G24" s="70"/>
      <c r="H24" s="80"/>
    </row>
    <row r="25" spans="1:8" x14ac:dyDescent="0.25">
      <c r="F25" s="56"/>
    </row>
    <row r="32" spans="1:8" ht="23.25" x14ac:dyDescent="0.25">
      <c r="B32" s="45" t="s">
        <v>19</v>
      </c>
    </row>
    <row r="34" spans="2:8" ht="23.25" x14ac:dyDescent="0.25">
      <c r="B34" s="72" t="s">
        <v>20</v>
      </c>
    </row>
    <row r="35" spans="2:8" ht="15.75" thickBot="1" x14ac:dyDescent="0.3"/>
    <row r="36" spans="2:8" ht="24.75" thickTop="1" thickBot="1" x14ac:dyDescent="0.3">
      <c r="B36" s="73" t="s">
        <v>21</v>
      </c>
    </row>
    <row r="37" spans="2:8" ht="15.75" thickTop="1" x14ac:dyDescent="0.25"/>
    <row r="46" spans="2:8" ht="16.5" hidden="1" thickTop="1" thickBot="1" x14ac:dyDescent="0.3">
      <c r="D46" s="13" t="s">
        <v>51</v>
      </c>
      <c r="F46" s="78">
        <f>(IF(F11="",0,E11*$C$11)+IF(F12="",0,E12*$C$12)+IF(F13="",0,E13*$C$13)+IF(F14="",0,E14*$C$14)+IF(F15="",0,E15*$C$15)+IF(F16="",0,E16*$C$16)+IF(F17="",0,E17*$C$17)+IF(F18="",0,E18*$C$18)+IF(F19="",0,E19*$C$19)+IF(F20="",0,E20*$C$20))-($C$7*0.9)</f>
        <v>0</v>
      </c>
      <c r="H46" s="78">
        <f>(IF(H11="",0,G11*$C$11)+IF(H12="",0,G12*$C$12)+IF(H13="",0,G13*$C$13)+IF(H14="",0,G14*$C$14)+IF(H15="",0,G15*$C$15)+IF(H16="",0,G16*$C$16)+IF(H17="",0,G17*$C$17)+IF(H18="",0,G18*$C$18)+IF(H19="",0,G19*$C$19)+IF(H20="",0,G20*$C$20))-($C$7*0.9)</f>
        <v>0</v>
      </c>
    </row>
  </sheetData>
  <conditionalFormatting sqref="F46 H46">
    <cfRule type="cellIs" dxfId="29" priority="3" operator="lessThan">
      <formula>0</formula>
    </cfRule>
    <cfRule type="cellIs" dxfId="28" priority="4" operator="greaterThan">
      <formula>0</formula>
    </cfRule>
  </conditionalFormatting>
  <conditionalFormatting sqref="F24 H24">
    <cfRule type="cellIs" dxfId="27" priority="5" operator="lessThan">
      <formula>0</formula>
    </cfRule>
    <cfRule type="cellIs" dxfId="26" priority="6" operator="greaterThan">
      <formula>0</formula>
    </cfRule>
  </conditionalFormatting>
  <conditionalFormatting sqref="F23 H23">
    <cfRule type="containsText" dxfId="25" priority="1" operator="containsText" text="yes">
      <formula>NOT(ISERROR(SEARCH("yes",F23)))</formula>
    </cfRule>
    <cfRule type="containsText" dxfId="24" priority="2" operator="containsText" text="No">
      <formula>NOT(ISERROR(SEARCH("No",F23)))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6D169D3-E103-4E98-A2A4-9F3567B902F5}">
          <x14:formula1>
            <xm:f>'BMP List'!$A$1:$A$22</xm:f>
          </x14:formula1>
          <xm:sqref>B11:B20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94F32-454F-4153-B87C-6D2DCB36772C}">
  <sheetPr>
    <tabColor theme="8" tint="-0.249977111117893"/>
  </sheetPr>
  <dimension ref="A1:H46"/>
  <sheetViews>
    <sheetView zoomScale="80" zoomScaleNormal="80" workbookViewId="0">
      <selection activeCell="B43" sqref="B43"/>
    </sheetView>
  </sheetViews>
  <sheetFormatPr defaultColWidth="9.140625" defaultRowHeight="15" x14ac:dyDescent="0.25"/>
  <cols>
    <col min="1" max="1" width="11.7109375" style="47" customWidth="1"/>
    <col min="2" max="2" width="50.85546875" style="47" bestFit="1" customWidth="1"/>
    <col min="3" max="3" width="32.85546875" style="47" bestFit="1" customWidth="1"/>
    <col min="4" max="4" width="39.5703125" style="47" customWidth="1"/>
    <col min="5" max="5" width="13.85546875" style="47" bestFit="1" customWidth="1"/>
    <col min="6" max="6" width="24.28515625" style="47" customWidth="1"/>
    <col min="7" max="7" width="15.140625" style="47" bestFit="1" customWidth="1"/>
    <col min="8" max="8" width="24.28515625" style="47" customWidth="1"/>
    <col min="9" max="16384" width="9.140625" style="47"/>
  </cols>
  <sheetData>
    <row r="1" spans="1:8" x14ac:dyDescent="0.25">
      <c r="B1" s="48" t="s">
        <v>30</v>
      </c>
      <c r="C1" s="24"/>
    </row>
    <row r="3" spans="1:8" x14ac:dyDescent="0.25">
      <c r="B3" s="48" t="s">
        <v>27</v>
      </c>
      <c r="C3" s="24">
        <v>0</v>
      </c>
    </row>
    <row r="4" spans="1:8" s="51" customFormat="1" ht="4.5" customHeight="1" x14ac:dyDescent="0.25">
      <c r="B4" s="49"/>
      <c r="C4" s="50"/>
    </row>
    <row r="5" spans="1:8" x14ac:dyDescent="0.25">
      <c r="B5" s="48" t="s">
        <v>11</v>
      </c>
      <c r="C5" s="25">
        <f>C3*43560</f>
        <v>0</v>
      </c>
      <c r="F5" s="75"/>
    </row>
    <row r="6" spans="1:8" ht="5.0999999999999996" customHeight="1" thickBot="1" x14ac:dyDescent="0.3">
      <c r="C6" s="52"/>
    </row>
    <row r="7" spans="1:8" ht="15.75" thickBot="1" x14ac:dyDescent="0.3">
      <c r="B7" s="53" t="s">
        <v>13</v>
      </c>
      <c r="C7" s="5">
        <f>C5/24</f>
        <v>0</v>
      </c>
    </row>
    <row r="9" spans="1:8" ht="15.75" thickBot="1" x14ac:dyDescent="0.3"/>
    <row r="10" spans="1:8" ht="30" x14ac:dyDescent="0.25">
      <c r="A10" s="32" t="s">
        <v>47</v>
      </c>
      <c r="B10" s="32" t="s">
        <v>14</v>
      </c>
      <c r="C10" s="18" t="s">
        <v>15</v>
      </c>
      <c r="D10" s="18" t="s">
        <v>16</v>
      </c>
      <c r="E10" s="18" t="s">
        <v>28</v>
      </c>
      <c r="F10" s="18" t="s">
        <v>25</v>
      </c>
      <c r="G10" s="19" t="s">
        <v>29</v>
      </c>
      <c r="H10" s="19" t="s">
        <v>26</v>
      </c>
    </row>
    <row r="11" spans="1:8" ht="15" customHeight="1" x14ac:dyDescent="0.25">
      <c r="A11" s="8"/>
      <c r="B11" s="8" t="s">
        <v>0</v>
      </c>
      <c r="C11" s="76" t="str">
        <f>IF(B11="Stormwater Reuse (Square Feet)",IF('Stormwater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Calculations'!$E$30))),VLOOKUP(B11,'BMP List'!$A:$F,6,FALSE))</f>
        <v>(Enter BMP Details Here)</v>
      </c>
      <c r="D11" s="29" t="str">
        <f>VLOOKUP(B11,'BMP List'!$A:$E,5,FALSE)</f>
        <v>Unit</v>
      </c>
      <c r="E11" s="28" t="str">
        <f>IF(ISERROR(VLOOKUP($B11,'BMP List'!A:C,3,FALSE)),"",VLOOKUP($B11,'BMP List'!A:C,3,FALSE))</f>
        <v>TP Credit</v>
      </c>
      <c r="F11" s="27" t="str">
        <f>IF(ISERROR(C11*E11),"",IF(B11="Disconnecting Impervious Surface (Square Feet)",IF((1/24*C11)&lt;($C$7),1/24*E11*C11,$C$7*E11),IF(B11="Underground Storage 1.5x (Cubic Feet)",IF(C11/1.5&gt;$C$7,$C$7*E11,C11/1.5*E11),IF(C11&gt;$C$7,$C$7*E11,C11*E11))))</f>
        <v/>
      </c>
      <c r="G11" s="30" t="str">
        <f>IF(ISERROR((VLOOKUP($B11,'BMP List'!$A:$D,4,FALSE))),"",VLOOKUP($B11,'BMP List'!$A:$D,4,FALSE))</f>
        <v>TSS Credit</v>
      </c>
      <c r="H11" s="33" t="str">
        <f>IF(ISERROR(C11*G11),"",IF(B11="Hydrodynamic Separator (Square Feet)",IF((1/24*G11*C11)&lt;($C$7*G11),1/24*G11*C11,$C$7*G11),IF(B11="Disconnecting Impervious Surface (Square Feet)",IF((1/24*G11*C11)&lt;($C$7*G11),1/24*G11*C11,$C$7*G11),IF(B11="Underground Storage 1.5x (Cubic Feet)",IF(C11/1.5&gt;$C$7,$C$7*E11,C11/1.5*E11),IF(C11&gt;$C$7,$C$7*G11,C11*G11)))))</f>
        <v/>
      </c>
    </row>
    <row r="12" spans="1:8" x14ac:dyDescent="0.25">
      <c r="A12" s="8"/>
      <c r="B12" s="8" t="s">
        <v>0</v>
      </c>
      <c r="C12" s="76" t="str">
        <f>IF(B12="Stormwater Reuse (Square Feet)",IF('Stormwater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Calculations'!$E$30))),VLOOKUP(B12,'BMP List'!$A:$F,6,FALSE))</f>
        <v>(Enter BMP Details Here)</v>
      </c>
      <c r="D12" s="29" t="str">
        <f>VLOOKUP(B12,'BMP List'!$A:$E,5,FALSE)</f>
        <v>Unit</v>
      </c>
      <c r="E12" s="28" t="str">
        <f>IF(ISERROR(VLOOKUP($B12,'BMP List'!A:C,3,FALSE)),"",VLOOKUP($B12,'BMP List'!A:C,3,FALSE))</f>
        <v>TP Credit</v>
      </c>
      <c r="F12" s="27" t="str">
        <f t="shared" ref="F12:F20" si="0">IF(ISERROR(C12*E12),"",IF(B12="Disconnecting Impervious Surface (Square Feet)",IF((1/24*C12)&lt;($C$7),1/24*E12*C12,$C$7*E12),IF(B12="Underground Storage 1.5x (Cubic Feet)",IF(C12/1.5&gt;$C$7,$C$7*E12,C12/1.5*E12),IF(C12&gt;$C$7,$C$7*E12,C12*E12))))</f>
        <v/>
      </c>
      <c r="G12" s="30" t="str">
        <f>IF(ISERROR((VLOOKUP($B12,'BMP List'!$A:$D,4,FALSE))),"",VLOOKUP($B12,'BMP List'!$A:$D,4,FALSE))</f>
        <v>TSS Credit</v>
      </c>
      <c r="H12" s="33" t="str">
        <f t="shared" ref="H12:H20" si="1">IF(ISERROR(C12*G12),"",IF(B12="Hydrodynamic Separator (Square Feet)",IF((1/24*G12*C12)&lt;($C$7*G12),1/24*G12*C12,$C$7*G12),IF(B12="Disconnecting Impervious Surface (Square Feet)",IF((1/24*G12*C12)&lt;($C$7*G12),1/24*G12*C12,$C$7*G12),IF(B12="Underground Storage 1.5x (Cubic Feet)",IF(C12/1.5&gt;$C$7,$C$7*E12,C12/1.5*E12),IF(C12&gt;$C$7,$C$7*G12,C12*G12)))))</f>
        <v/>
      </c>
    </row>
    <row r="13" spans="1:8" ht="15" customHeight="1" x14ac:dyDescent="0.25">
      <c r="A13" s="8"/>
      <c r="B13" s="8" t="s">
        <v>0</v>
      </c>
      <c r="C13" s="76" t="str">
        <f>IF(B13="Stormwater Reuse (Square Feet)",IF('Stormwater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Calculations'!$E$30))),VLOOKUP(B13,'BMP List'!$A:$F,6,FALSE))</f>
        <v>(Enter BMP Details Here)</v>
      </c>
      <c r="D13" s="29" t="str">
        <f>VLOOKUP(B13,'BMP List'!$A:$E,5,FALSE)</f>
        <v>Unit</v>
      </c>
      <c r="E13" s="28" t="str">
        <f>IF(ISERROR(VLOOKUP($B13,'BMP List'!A:C,3,FALSE)),"",VLOOKUP($B13,'BMP List'!A:C,3,FALSE))</f>
        <v>TP Credit</v>
      </c>
      <c r="F13" s="27" t="str">
        <f t="shared" si="0"/>
        <v/>
      </c>
      <c r="G13" s="30" t="str">
        <f>IF(ISERROR((VLOOKUP($B13,'BMP List'!$A:$D,4,FALSE))),"",VLOOKUP($B13,'BMP List'!$A:$D,4,FALSE))</f>
        <v>TSS Credit</v>
      </c>
      <c r="H13" s="33" t="str">
        <f t="shared" si="1"/>
        <v/>
      </c>
    </row>
    <row r="14" spans="1:8" x14ac:dyDescent="0.25">
      <c r="A14" s="8"/>
      <c r="B14" s="8" t="s">
        <v>0</v>
      </c>
      <c r="C14" s="76" t="str">
        <f>IF(B14="Stormwater Reuse (Square Feet)",IF('Stormwater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Calculations'!$E$30))),VLOOKUP(B14,'BMP List'!$A:$F,6,FALSE))</f>
        <v>(Enter BMP Details Here)</v>
      </c>
      <c r="D14" s="29" t="str">
        <f>VLOOKUP(B14,'BMP List'!$A:$E,5,FALSE)</f>
        <v>Unit</v>
      </c>
      <c r="E14" s="28" t="str">
        <f>IF(ISERROR(VLOOKUP($B14,'BMP List'!A:C,3,FALSE)),"",VLOOKUP($B14,'BMP List'!A:C,3,FALSE))</f>
        <v>TP Credit</v>
      </c>
      <c r="F14" s="27" t="str">
        <f t="shared" si="0"/>
        <v/>
      </c>
      <c r="G14" s="30" t="str">
        <f>IF(ISERROR((VLOOKUP($B14,'BMP List'!$A:$D,4,FALSE))),"",VLOOKUP($B14,'BMP List'!$A:$D,4,FALSE))</f>
        <v>TSS Credit</v>
      </c>
      <c r="H14" s="33" t="str">
        <f t="shared" si="1"/>
        <v/>
      </c>
    </row>
    <row r="15" spans="1:8" x14ac:dyDescent="0.25">
      <c r="A15" s="8"/>
      <c r="B15" s="8" t="s">
        <v>0</v>
      </c>
      <c r="C15" s="76" t="str">
        <f>IF(B15="Stormwater Reuse (Square Feet)",IF('Stormwater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Calculations'!$E$30))),VLOOKUP(B15,'BMP List'!$A:$F,6,FALSE))</f>
        <v>(Enter BMP Details Here)</v>
      </c>
      <c r="D15" s="29" t="str">
        <f>VLOOKUP(B15,'BMP List'!$A:$E,5,FALSE)</f>
        <v>Unit</v>
      </c>
      <c r="E15" s="28" t="str">
        <f>IF(ISERROR(VLOOKUP($B15,'BMP List'!A:C,3,FALSE)),"",VLOOKUP($B15,'BMP List'!A:C,3,FALSE))</f>
        <v>TP Credit</v>
      </c>
      <c r="F15" s="27" t="str">
        <f t="shared" si="0"/>
        <v/>
      </c>
      <c r="G15" s="30" t="str">
        <f>IF(ISERROR((VLOOKUP($B15,'BMP List'!$A:$D,4,FALSE))),"",VLOOKUP($B15,'BMP List'!$A:$D,4,FALSE))</f>
        <v>TSS Credit</v>
      </c>
      <c r="H15" s="33" t="str">
        <f t="shared" si="1"/>
        <v/>
      </c>
    </row>
    <row r="16" spans="1:8" x14ac:dyDescent="0.25">
      <c r="A16" s="8"/>
      <c r="B16" s="8" t="s">
        <v>0</v>
      </c>
      <c r="C16" s="76" t="str">
        <f>IF(B16="Stormwater Reuse (Square Feet)",IF('Stormwater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Calculations'!$E$30))),VLOOKUP(B16,'BMP List'!$A:$F,6,FALSE))</f>
        <v>(Enter BMP Details Here)</v>
      </c>
      <c r="D16" s="29" t="str">
        <f>VLOOKUP(B16,'BMP List'!$A:$E,5,FALSE)</f>
        <v>Unit</v>
      </c>
      <c r="E16" s="28" t="str">
        <f>IF(ISERROR(VLOOKUP($B16,'BMP List'!A:C,3,FALSE)),"",VLOOKUP($B16,'BMP List'!A:C,3,FALSE))</f>
        <v>TP Credit</v>
      </c>
      <c r="F16" s="27" t="str">
        <f t="shared" si="0"/>
        <v/>
      </c>
      <c r="G16" s="30" t="str">
        <f>IF(ISERROR((VLOOKUP($B16,'BMP List'!$A:$D,4,FALSE))),"",VLOOKUP($B16,'BMP List'!$A:$D,4,FALSE))</f>
        <v>TSS Credit</v>
      </c>
      <c r="H16" s="33" t="str">
        <f t="shared" si="1"/>
        <v/>
      </c>
    </row>
    <row r="17" spans="1:8" x14ac:dyDescent="0.25">
      <c r="A17" s="8"/>
      <c r="B17" s="8" t="s">
        <v>0</v>
      </c>
      <c r="C17" s="76" t="str">
        <f>IF(B17="Stormwater Reuse (Square Feet)",IF('Stormwater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Calculations'!$E$30))),VLOOKUP(B17,'BMP List'!$A:$F,6,FALSE))</f>
        <v>(Enter BMP Details Here)</v>
      </c>
      <c r="D17" s="29" t="str">
        <f>VLOOKUP(B17,'BMP List'!$A:$E,5,FALSE)</f>
        <v>Unit</v>
      </c>
      <c r="E17" s="28" t="str">
        <f>IF(ISERROR(VLOOKUP($B17,'BMP List'!A:C,3,FALSE)),"",VLOOKUP($B17,'BMP List'!A:C,3,FALSE))</f>
        <v>TP Credit</v>
      </c>
      <c r="F17" s="27" t="str">
        <f t="shared" si="0"/>
        <v/>
      </c>
      <c r="G17" s="30" t="str">
        <f>IF(ISERROR((VLOOKUP($B17,'BMP List'!$A:$D,4,FALSE))),"",VLOOKUP($B17,'BMP List'!$A:$D,4,FALSE))</f>
        <v>TSS Credit</v>
      </c>
      <c r="H17" s="33" t="str">
        <f t="shared" si="1"/>
        <v/>
      </c>
    </row>
    <row r="18" spans="1:8" x14ac:dyDescent="0.25">
      <c r="A18" s="8"/>
      <c r="B18" s="8" t="s">
        <v>0</v>
      </c>
      <c r="C18" s="76" t="str">
        <f>IF(B18="Stormwater Reuse (Square Feet)",IF('Stormwater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Calculations'!$E$30))),VLOOKUP(B18,'BMP List'!$A:$F,6,FALSE))</f>
        <v>(Enter BMP Details Here)</v>
      </c>
      <c r="D18" s="29" t="str">
        <f>VLOOKUP(B18,'BMP List'!$A:$E,5,FALSE)</f>
        <v>Unit</v>
      </c>
      <c r="E18" s="28" t="str">
        <f>IF(ISERROR(VLOOKUP($B18,'BMP List'!A:C,3,FALSE)),"",VLOOKUP($B18,'BMP List'!A:C,3,FALSE))</f>
        <v>TP Credit</v>
      </c>
      <c r="F18" s="27" t="str">
        <f t="shared" si="0"/>
        <v/>
      </c>
      <c r="G18" s="30" t="str">
        <f>IF(ISERROR((VLOOKUP($B18,'BMP List'!$A:$D,4,FALSE))),"",VLOOKUP($B18,'BMP List'!$A:$D,4,FALSE))</f>
        <v>TSS Credit</v>
      </c>
      <c r="H18" s="33" t="str">
        <f t="shared" si="1"/>
        <v/>
      </c>
    </row>
    <row r="19" spans="1:8" ht="15" customHeight="1" x14ac:dyDescent="0.25">
      <c r="A19" s="8"/>
      <c r="B19" s="8" t="s">
        <v>0</v>
      </c>
      <c r="C19" s="76" t="str">
        <f>IF(B19="Stormwater Reuse (Square Feet)",IF('Stormwater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Calculations'!$E$30))),VLOOKUP(B19,'BMP List'!$A:$F,6,FALSE))</f>
        <v>(Enter BMP Details Here)</v>
      </c>
      <c r="D19" s="29" t="str">
        <f>VLOOKUP(B19,'BMP List'!$A:$E,5,FALSE)</f>
        <v>Unit</v>
      </c>
      <c r="E19" s="28" t="str">
        <f>IF(ISERROR(VLOOKUP($B19,'BMP List'!A:C,3,FALSE)),"",VLOOKUP($B19,'BMP List'!A:C,3,FALSE))</f>
        <v>TP Credit</v>
      </c>
      <c r="F19" s="27" t="str">
        <f t="shared" si="0"/>
        <v/>
      </c>
      <c r="G19" s="30" t="str">
        <f>IF(ISERROR((VLOOKUP($B19,'BMP List'!$A:$D,4,FALSE))),"",VLOOKUP($B19,'BMP List'!$A:$D,4,FALSE))</f>
        <v>TSS Credit</v>
      </c>
      <c r="H19" s="33" t="str">
        <f t="shared" si="1"/>
        <v/>
      </c>
    </row>
    <row r="20" spans="1:8" ht="15.75" thickBot="1" x14ac:dyDescent="0.3">
      <c r="A20" s="10"/>
      <c r="B20" s="10" t="s">
        <v>0</v>
      </c>
      <c r="C20" s="77" t="str">
        <f>IF(B20="Stormwater Reuse (Square Feet)",IF('Stormwater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Calculations'!$E$30))),VLOOKUP(B20,'BMP List'!$A:$F,6,FALSE))</f>
        <v>(Enter BMP Details Here)</v>
      </c>
      <c r="D20" s="34" t="str">
        <f>VLOOKUP(B20,'BMP List'!$A:$E,5,FALSE)</f>
        <v>Unit</v>
      </c>
      <c r="E20" s="35" t="str">
        <f>IF(ISERROR(VLOOKUP($B20,'BMP List'!A:C,3,FALSE)),"",VLOOKUP($B20,'BMP List'!A:C,3,FALSE))</f>
        <v>TP Credit</v>
      </c>
      <c r="F20" s="83" t="str">
        <f t="shared" si="0"/>
        <v/>
      </c>
      <c r="G20" s="44" t="str">
        <f>IF(ISERROR((VLOOKUP($B20,'BMP List'!$A:$D,4,FALSE))),"",VLOOKUP($B20,'BMP List'!$A:$D,4,FALSE))</f>
        <v>TSS Credit</v>
      </c>
      <c r="H20" s="36" t="str">
        <f t="shared" si="1"/>
        <v/>
      </c>
    </row>
    <row r="21" spans="1:8" ht="15.75" thickBot="1" x14ac:dyDescent="0.3">
      <c r="B21" s="63"/>
      <c r="C21" s="63"/>
      <c r="D21" s="31" t="s">
        <v>17</v>
      </c>
      <c r="F21" s="26">
        <f>SUM(F11:F20)</f>
        <v>0</v>
      </c>
      <c r="H21" s="26">
        <f>SUM(H11:H20)</f>
        <v>0</v>
      </c>
    </row>
    <row r="22" spans="1:8" ht="16.5" customHeight="1" thickTop="1" thickBot="1" x14ac:dyDescent="0.3">
      <c r="D22" s="12" t="s">
        <v>18</v>
      </c>
      <c r="F22" s="20" t="e">
        <f>IF((F21/($C$7*0.9))&gt;1,"&gt;100%",F21/($C$7*0.9))</f>
        <v>#DIV/0!</v>
      </c>
      <c r="H22" s="20" t="e">
        <f>IF((H21/($C$7*0.9))&gt;1,"&gt;100%",H21/($C$7*0.9))</f>
        <v>#DIV/0!</v>
      </c>
    </row>
    <row r="23" spans="1:8" ht="16.5" thickTop="1" thickBot="1" x14ac:dyDescent="0.3">
      <c r="D23" s="12" t="s">
        <v>24</v>
      </c>
      <c r="F23" s="12" t="e">
        <f>IF(F22&gt;=100%,"YES","NO")</f>
        <v>#DIV/0!</v>
      </c>
      <c r="H23" s="12" t="e">
        <f>IF(H22&gt;=100%,"YES","NO")</f>
        <v>#DIV/0!</v>
      </c>
    </row>
    <row r="24" spans="1:8" ht="15.75" thickTop="1" x14ac:dyDescent="0.25">
      <c r="D24" s="79"/>
      <c r="E24" s="70"/>
      <c r="F24" s="80"/>
      <c r="G24" s="70"/>
      <c r="H24" s="80"/>
    </row>
    <row r="25" spans="1:8" x14ac:dyDescent="0.25">
      <c r="F25" s="56"/>
    </row>
    <row r="32" spans="1:8" ht="23.25" x14ac:dyDescent="0.25">
      <c r="B32" s="45" t="s">
        <v>19</v>
      </c>
    </row>
    <row r="34" spans="2:8" ht="23.25" x14ac:dyDescent="0.25">
      <c r="B34" s="72" t="s">
        <v>20</v>
      </c>
    </row>
    <row r="35" spans="2:8" ht="15.75" thickBot="1" x14ac:dyDescent="0.3"/>
    <row r="36" spans="2:8" ht="24.75" thickTop="1" thickBot="1" x14ac:dyDescent="0.3">
      <c r="B36" s="73" t="s">
        <v>21</v>
      </c>
    </row>
    <row r="37" spans="2:8" ht="15.75" thickTop="1" x14ac:dyDescent="0.25"/>
    <row r="46" spans="2:8" ht="16.5" hidden="1" thickTop="1" thickBot="1" x14ac:dyDescent="0.3">
      <c r="D46" s="13" t="s">
        <v>51</v>
      </c>
      <c r="F46" s="78">
        <f>(IF(F11="",0,E11*$C$11)+IF(F12="",0,E12*$C$12)+IF(F13="",0,E13*$C$13)+IF(F14="",0,E14*$C$14)+IF(F15="",0,E15*$C$15)+IF(F16="",0,E16*$C$16)+IF(F17="",0,E17*$C$17)+IF(F18="",0,E18*$C$18)+IF(F19="",0,E19*$C$19)+IF(F20="",0,E20*$C$20))-($C$7*0.9)</f>
        <v>0</v>
      </c>
      <c r="H46" s="78">
        <f>(IF(H11="",0,G11*$C$11)+IF(H12="",0,G12*$C$12)+IF(H13="",0,G13*$C$13)+IF(H14="",0,G14*$C$14)+IF(H15="",0,G15*$C$15)+IF(H16="",0,G16*$C$16)+IF(H17="",0,G17*$C$17)+IF(H18="",0,G18*$C$18)+IF(H19="",0,G19*$C$19)+IF(H20="",0,G20*$C$20))-($C$7*0.9)</f>
        <v>0</v>
      </c>
    </row>
  </sheetData>
  <conditionalFormatting sqref="F46 H46">
    <cfRule type="cellIs" dxfId="23" priority="3" operator="lessThan">
      <formula>0</formula>
    </cfRule>
    <cfRule type="cellIs" dxfId="22" priority="4" operator="greaterThan">
      <formula>0</formula>
    </cfRule>
  </conditionalFormatting>
  <conditionalFormatting sqref="F24 H24">
    <cfRule type="cellIs" dxfId="21" priority="5" operator="lessThan">
      <formula>0</formula>
    </cfRule>
    <cfRule type="cellIs" dxfId="20" priority="6" operator="greaterThan">
      <formula>0</formula>
    </cfRule>
  </conditionalFormatting>
  <conditionalFormatting sqref="F23 H23">
    <cfRule type="containsText" dxfId="19" priority="1" operator="containsText" text="yes">
      <formula>NOT(ISERROR(SEARCH("yes",F23)))</formula>
    </cfRule>
    <cfRule type="containsText" dxfId="18" priority="2" operator="containsText" text="No">
      <formula>NOT(ISERROR(SEARCH("No",F23)))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332BEDC-A9CB-4CC8-AABD-E7B7E2B6DDC3}">
          <x14:formula1>
            <xm:f>'BMP List'!$A$1:$A$22</xm:f>
          </x14:formula1>
          <xm:sqref>B11:B20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Overall Volume reduction</vt:lpstr>
      <vt:lpstr>Stormwater Reuse Calculations</vt:lpstr>
      <vt:lpstr>Subwatershed 1</vt:lpstr>
      <vt:lpstr>Subwatershed 2</vt:lpstr>
      <vt:lpstr>Subwatershed 3</vt:lpstr>
      <vt:lpstr>Subwatershed 4</vt:lpstr>
      <vt:lpstr>Subwatershed 5</vt:lpstr>
      <vt:lpstr>Subwatershed 6</vt:lpstr>
      <vt:lpstr>Subwatershed 7</vt:lpstr>
      <vt:lpstr>Subwatershed 8</vt:lpstr>
      <vt:lpstr>Subwatershed 9</vt:lpstr>
      <vt:lpstr>Subwatershed 10</vt:lpstr>
      <vt:lpstr>BMP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Kristen Larson</dc:creator>
  <cp:lastModifiedBy>Tim Sundby</cp:lastModifiedBy>
  <cp:lastPrinted>2017-03-09T14:58:17Z</cp:lastPrinted>
  <dcterms:created xsi:type="dcterms:W3CDTF">2013-01-07T15:24:45Z</dcterms:created>
  <dcterms:modified xsi:type="dcterms:W3CDTF">2024-10-31T20:56:41Z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5a02265dcc384394908c95f027fa5451</vt:lpwstr>
  </property>
</Properties>
</file>